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825" windowWidth="15120" windowHeight="7290" tabRatio="845" activeTab="7"/>
  </bookViews>
  <sheets>
    <sheet name="Т-150" sheetId="2" r:id="rId1"/>
    <sheet name="Эксковатор" sheetId="4" r:id="rId2"/>
    <sheet name="ДТ-75" sheetId="11" r:id="rId3"/>
    <sheet name="МТЗ" sheetId="14" r:id="rId4"/>
    <sheet name="УАЗ" sheetId="13" r:id="rId5"/>
    <sheet name="кия" sheetId="26" r:id="rId6"/>
    <sheet name="КАМАЗ 5320" sheetId="24" r:id="rId7"/>
    <sheet name="жбо населен" sheetId="9" r:id="rId8"/>
    <sheet name="ЖБО для организаций" sheetId="1" r:id="rId9"/>
    <sheet name="услуги слесаря" sheetId="12" r:id="rId10"/>
    <sheet name="услуги слесаря (2)" sheetId="25" r:id="rId11"/>
  </sheets>
  <definedNames>
    <definedName name="_xlnm.Print_Area" localSheetId="7">'жбо населен'!$A$1:$G$49</definedName>
    <definedName name="_xlnm.Print_Area" localSheetId="6">'КАМАЗ 5320'!$A$1:$F$47</definedName>
  </definedNames>
  <calcPr calcId="145621"/>
</workbook>
</file>

<file path=xl/calcChain.xml><?xml version="1.0" encoding="utf-8"?>
<calcChain xmlns="http://schemas.openxmlformats.org/spreadsheetml/2006/main">
  <c r="G39" i="9" l="1"/>
  <c r="G33" i="9"/>
  <c r="F27" i="9"/>
  <c r="F26" i="9"/>
  <c r="F28" i="9" s="1"/>
  <c r="G22" i="9"/>
  <c r="G19" i="9"/>
  <c r="G17" i="9"/>
  <c r="G21" i="9" s="1"/>
  <c r="G32" i="9" s="1"/>
  <c r="G15" i="9"/>
  <c r="G34" i="9" l="1"/>
  <c r="G35" i="9" s="1"/>
  <c r="F29" i="9"/>
  <c r="F24" i="9" s="1"/>
  <c r="G24" i="9" s="1"/>
  <c r="G30" i="9" s="1"/>
  <c r="G36" i="9" l="1"/>
  <c r="G31" i="9" s="1"/>
  <c r="G37" i="9"/>
  <c r="G38" i="9" s="1"/>
  <c r="G47" i="9" l="1"/>
  <c r="F47" i="9"/>
  <c r="G41" i="9"/>
  <c r="G42" i="9" l="1"/>
  <c r="G43" i="9" s="1"/>
  <c r="G44" i="9" l="1"/>
  <c r="G45" i="9" s="1"/>
  <c r="G46" i="9" s="1"/>
  <c r="G39" i="1" l="1"/>
  <c r="F25" i="26" l="1"/>
  <c r="F26" i="26" s="1"/>
  <c r="E20" i="26"/>
  <c r="E19" i="26"/>
  <c r="E18" i="26"/>
  <c r="F15" i="26"/>
  <c r="F31" i="26" l="1"/>
  <c r="E21" i="26"/>
  <c r="F27" i="26"/>
  <c r="E22" i="26" l="1"/>
  <c r="E16" i="26" s="1"/>
  <c r="F16" i="26" s="1"/>
  <c r="F28" i="26"/>
  <c r="F29" i="26"/>
  <c r="F30" i="26" s="1"/>
  <c r="F23" i="26" l="1"/>
  <c r="F33" i="26"/>
  <c r="F24" i="26"/>
  <c r="F34" i="26" l="1"/>
  <c r="F35" i="26" s="1"/>
  <c r="F36" i="26" s="1"/>
  <c r="F37" i="26"/>
  <c r="F38" i="26" l="1"/>
  <c r="F39" i="26" s="1"/>
  <c r="F40" i="26" s="1"/>
  <c r="I9" i="25" l="1"/>
  <c r="I10" i="25" l="1"/>
  <c r="F33" i="24"/>
  <c r="F27" i="24"/>
  <c r="E22" i="24"/>
  <c r="E21" i="24"/>
  <c r="E20" i="24"/>
  <c r="F17" i="24"/>
  <c r="E23" i="24" l="1"/>
  <c r="F28" i="24"/>
  <c r="F29" i="24" s="1"/>
  <c r="I11" i="25"/>
  <c r="E18" i="24"/>
  <c r="F18" i="24" s="1"/>
  <c r="F25" i="24" s="1"/>
  <c r="E24" i="24"/>
  <c r="F30" i="24" l="1"/>
  <c r="F31" i="24"/>
  <c r="F32" i="24" s="1"/>
  <c r="F26" i="24" s="1"/>
  <c r="I13" i="25"/>
  <c r="I12" i="25"/>
  <c r="I7" i="25"/>
  <c r="F35" i="24" l="1"/>
  <c r="F36" i="24" s="1"/>
  <c r="F37" i="24" s="1"/>
  <c r="F38" i="24" s="1"/>
  <c r="I14" i="25"/>
  <c r="I15" i="25" s="1"/>
  <c r="I16" i="25" l="1"/>
  <c r="I17" i="25" s="1"/>
  <c r="F39" i="24"/>
  <c r="F40" i="24" s="1"/>
  <c r="F41" i="24" s="1"/>
  <c r="F42" i="24" l="1"/>
  <c r="F43" i="24"/>
  <c r="H41" i="24"/>
  <c r="I34" i="9" l="1"/>
  <c r="I17" i="12" l="1"/>
  <c r="I18" i="12" s="1"/>
  <c r="I19" i="12" l="1"/>
  <c r="I20" i="12" s="1"/>
  <c r="I15" i="12" l="1"/>
  <c r="F26" i="1" l="1"/>
  <c r="F27" i="1"/>
  <c r="E21" i="14"/>
  <c r="F16" i="14"/>
  <c r="G17" i="11"/>
  <c r="E19" i="13" l="1"/>
  <c r="F26" i="13" l="1"/>
  <c r="F25" i="13"/>
  <c r="F27" i="14" l="1"/>
  <c r="F29" i="14" s="1"/>
  <c r="F31" i="4"/>
  <c r="F16" i="4" l="1"/>
  <c r="E20" i="14" l="1"/>
  <c r="F31" i="14"/>
  <c r="F28" i="14"/>
  <c r="F30" i="14"/>
  <c r="E22" i="14"/>
  <c r="F26" i="14" l="1"/>
  <c r="E23" i="14"/>
  <c r="E20" i="13"/>
  <c r="E18" i="13"/>
  <c r="F15" i="13"/>
  <c r="F31" i="13" s="1"/>
  <c r="E24" i="14" l="1"/>
  <c r="E18" i="14" s="1"/>
  <c r="F18" i="14" s="1"/>
  <c r="E21" i="13"/>
  <c r="E22" i="13" s="1"/>
  <c r="F27" i="13"/>
  <c r="F28" i="13" s="1"/>
  <c r="F25" i="14" l="1"/>
  <c r="F33" i="14" s="1"/>
  <c r="F29" i="13"/>
  <c r="F30" i="13" s="1"/>
  <c r="F24" i="13" s="1"/>
  <c r="F34" i="14" l="1"/>
  <c r="F35" i="14" s="1"/>
  <c r="F36" i="14" s="1"/>
  <c r="F37" i="14" s="1"/>
  <c r="F38" i="14" s="1"/>
  <c r="E16" i="13"/>
  <c r="F16" i="13" s="1"/>
  <c r="F39" i="14"/>
  <c r="F40" i="14" s="1"/>
  <c r="G31" i="11"/>
  <c r="G30" i="2"/>
  <c r="G27" i="11"/>
  <c r="G16" i="11"/>
  <c r="F27" i="4"/>
  <c r="G17" i="1"/>
  <c r="F33" i="13" l="1"/>
  <c r="F23" i="13"/>
  <c r="F34" i="13" l="1"/>
  <c r="F35" i="13"/>
  <c r="F36" i="13" s="1"/>
  <c r="F37" i="13" s="1"/>
  <c r="I21" i="12"/>
  <c r="I22" i="12" s="1"/>
  <c r="G15" i="2"/>
  <c r="G26" i="2"/>
  <c r="G28" i="2" s="1"/>
  <c r="G29" i="11"/>
  <c r="G30" i="11" s="1"/>
  <c r="F22" i="11"/>
  <c r="F21" i="11"/>
  <c r="F20" i="11"/>
  <c r="F38" i="13" l="1"/>
  <c r="F39" i="13" s="1"/>
  <c r="F40" i="13" s="1"/>
  <c r="I23" i="12"/>
  <c r="G28" i="11"/>
  <c r="G26" i="11" s="1"/>
  <c r="F23" i="11"/>
  <c r="G27" i="2"/>
  <c r="I24" i="12" l="1"/>
  <c r="I25" i="12" s="1"/>
  <c r="F24" i="11"/>
  <c r="F18" i="11" s="1"/>
  <c r="G18" i="11" s="1"/>
  <c r="G16" i="2"/>
  <c r="E22" i="4"/>
  <c r="E21" i="4"/>
  <c r="F21" i="2"/>
  <c r="F20" i="2"/>
  <c r="G25" i="11" l="1"/>
  <c r="G33" i="11"/>
  <c r="G34" i="11" l="1"/>
  <c r="G35" i="11" s="1"/>
  <c r="G36" i="11" s="1"/>
  <c r="G37" i="11" s="1"/>
  <c r="G38" i="11" s="1"/>
  <c r="G39" i="11" l="1"/>
  <c r="G40" i="11" s="1"/>
  <c r="F28" i="1" l="1"/>
  <c r="F29" i="4"/>
  <c r="F30" i="4" s="1"/>
  <c r="E20" i="4"/>
  <c r="F19" i="2"/>
  <c r="G21" i="1"/>
  <c r="G32" i="1" s="1"/>
  <c r="F29" i="1" l="1"/>
  <c r="F24" i="1" s="1"/>
  <c r="G24" i="1" s="1"/>
  <c r="E23" i="4"/>
  <c r="E24" i="4" s="1"/>
  <c r="F22" i="2"/>
  <c r="F23" i="2" s="1"/>
  <c r="F28" i="4"/>
  <c r="F26" i="4" s="1"/>
  <c r="G29" i="2"/>
  <c r="G25" i="2" s="1"/>
  <c r="G19" i="1"/>
  <c r="G33" i="1"/>
  <c r="G34" i="1" s="1"/>
  <c r="G35" i="1" l="1"/>
  <c r="G37" i="1" s="1"/>
  <c r="E18" i="4"/>
  <c r="F18" i="4" s="1"/>
  <c r="G30" i="1"/>
  <c r="G36" i="1" l="1"/>
  <c r="G38" i="1"/>
  <c r="F25" i="4" l="1"/>
  <c r="F33" i="4" s="1"/>
  <c r="G31" i="1"/>
  <c r="G41" i="1" l="1"/>
  <c r="G48" i="1"/>
  <c r="F34" i="4"/>
  <c r="F35" i="4" s="1"/>
  <c r="F36" i="4" s="1"/>
  <c r="F37" i="4" s="1"/>
  <c r="F38" i="4" s="1"/>
  <c r="F17" i="2"/>
  <c r="G17" i="2" s="1"/>
  <c r="G32" i="2" l="1"/>
  <c r="G24" i="2"/>
  <c r="G42" i="1"/>
  <c r="G43" i="1" s="1"/>
  <c r="F39" i="4"/>
  <c r="F40" i="4" s="1"/>
  <c r="G33" i="2" l="1"/>
  <c r="G34" i="2" s="1"/>
  <c r="G35" i="2" s="1"/>
  <c r="G44" i="1"/>
  <c r="G36" i="2"/>
  <c r="G37" i="2" s="1"/>
  <c r="G45" i="1" l="1"/>
  <c r="G46" i="1" s="1"/>
  <c r="G47" i="1" s="1"/>
  <c r="G38" i="2"/>
  <c r="G39" i="2" s="1"/>
</calcChain>
</file>

<file path=xl/sharedStrings.xml><?xml version="1.0" encoding="utf-8"?>
<sst xmlns="http://schemas.openxmlformats.org/spreadsheetml/2006/main" count="519" uniqueCount="264">
  <si>
    <t xml:space="preserve">     4.4 Итого расход бензина, литр</t>
  </si>
  <si>
    <t xml:space="preserve"> Итого                                                                                             </t>
  </si>
  <si>
    <t xml:space="preserve"> Транспортный налог                                                                       </t>
  </si>
  <si>
    <t>маш\час</t>
  </si>
  <si>
    <t>маш дни</t>
  </si>
  <si>
    <t xml:space="preserve">Годовой режим эксплуатации                                       </t>
  </si>
  <si>
    <t>Грузоподъемность автомобиля, куб. м</t>
  </si>
  <si>
    <t xml:space="preserve"> Среднее расстояние перевозки до 8 км</t>
  </si>
  <si>
    <t xml:space="preserve">         в т.ч тарифная ставка                                </t>
  </si>
  <si>
    <t xml:space="preserve">          уральские 15%                                            </t>
  </si>
  <si>
    <t xml:space="preserve">Балансовая стоимость автомобиля , руб.                                              </t>
  </si>
  <si>
    <t>4 р в день</t>
  </si>
  <si>
    <t>исходные данные</t>
  </si>
  <si>
    <t>Всего затрат</t>
  </si>
  <si>
    <t xml:space="preserve">    4.3. повышающий коэф. на зимнее время-10% и старость техники</t>
  </si>
  <si>
    <t>Согласовано:</t>
  </si>
  <si>
    <t xml:space="preserve">                                                                          Утверждаю:</t>
  </si>
  <si>
    <t>Годовая выработка условных эталонных га</t>
  </si>
  <si>
    <t xml:space="preserve">         классность 20%                                              </t>
  </si>
  <si>
    <t xml:space="preserve">         стажевые30%                              </t>
  </si>
  <si>
    <t xml:space="preserve">7.  Итого прямых затрат, руб.                                                               </t>
  </si>
  <si>
    <t xml:space="preserve">эт. га </t>
  </si>
  <si>
    <t xml:space="preserve">         в т.ч тарифная ставка  за 1 час                               </t>
  </si>
  <si>
    <t xml:space="preserve">4.  Затраты на ГСМ  ( п.4.2.+п.4.4. )                                                         </t>
  </si>
  <si>
    <t xml:space="preserve">11.  Всего затрат                                                                                                     </t>
  </si>
  <si>
    <t xml:space="preserve">12.  Итого  стоимость 1  часа услуг , руб.                                                                  </t>
  </si>
  <si>
    <t xml:space="preserve">8.  Накладные расходы, руб.                                                  </t>
  </si>
  <si>
    <t xml:space="preserve">9. Рентабельность                                                                   </t>
  </si>
  <si>
    <t xml:space="preserve">3. Отчисления ПРФ и соц. страх, руб.  -                             </t>
  </si>
  <si>
    <t xml:space="preserve">    4.3.  Расход смазочных матер.к факт. расходу топлива -, литр</t>
  </si>
  <si>
    <t>маш-час</t>
  </si>
  <si>
    <t xml:space="preserve">12.  Итого  стоимость 1  часа услуг , руб.  ( п. 11/ машино-часы).                                                                </t>
  </si>
  <si>
    <t xml:space="preserve">3. Отчисления ПРФ и соц. страх, руб.                               </t>
  </si>
  <si>
    <t xml:space="preserve">13. Стоимость перегона 1 км. за пределы Киясово ( гсм), руб.                                             </t>
  </si>
  <si>
    <t xml:space="preserve">2.Зарплата тракториста -всего ,руб .                                           </t>
  </si>
  <si>
    <t xml:space="preserve">1. Амортизация  , руб.                                                      </t>
  </si>
  <si>
    <t>з\пл за 1 час</t>
  </si>
  <si>
    <t xml:space="preserve">Амортизационные отчисления на полное восстановление                                                                         </t>
  </si>
  <si>
    <t xml:space="preserve">10. Налог  по упрощенной системе </t>
  </si>
  <si>
    <t xml:space="preserve">Амортизация на полное восстановление                                                                         </t>
  </si>
  <si>
    <t xml:space="preserve">         премия 35%                                                  </t>
  </si>
  <si>
    <t xml:space="preserve">          отпускные 8,3%                                                </t>
  </si>
  <si>
    <t xml:space="preserve">         премия 15%                                                  </t>
  </si>
  <si>
    <t xml:space="preserve">Норма амортизационных отчислений на полное восстановление                                                                         </t>
  </si>
  <si>
    <t xml:space="preserve">Расчет </t>
  </si>
  <si>
    <t xml:space="preserve">Расчет стоимости 1 куб. м.  </t>
  </si>
  <si>
    <t xml:space="preserve">1. Годовой режим эксплуатации  автомобиля   на вывозе                             ЖБО от  населения                                      </t>
  </si>
  <si>
    <t xml:space="preserve">2. Количество рейсов за период                                                                     </t>
  </si>
  <si>
    <t>3. Грузоподъемность автомобиля, куб. м</t>
  </si>
  <si>
    <t>6. Общий пробег, км</t>
  </si>
  <si>
    <t xml:space="preserve">9.  Затраты на ГСМ  ( п.4.4.+п.4.10. )                                                         </t>
  </si>
  <si>
    <t>з\плата                  за 1 час</t>
  </si>
  <si>
    <t>Первомайское МУ ПП " Коммун-сервис" МО " Киясовский район"</t>
  </si>
  <si>
    <t xml:space="preserve">Расчет  стоимости 1 куб.м. </t>
  </si>
  <si>
    <t>Первомайское МУ ПП   " Коммун-сервис" МО " Киясовский район"</t>
  </si>
  <si>
    <t xml:space="preserve">                                                                Расчет </t>
  </si>
  <si>
    <t>Первомайское МУ ПП  " Коммун-сервис" МО " Киясовский район"</t>
  </si>
  <si>
    <t xml:space="preserve">Балансовая стоимость трактора ДТ-75 , руб.                                              </t>
  </si>
  <si>
    <t>__________А.Ю. Камашев</t>
  </si>
  <si>
    <t xml:space="preserve">    4.1.  расход диз топлива при норме - на 1 час -4,41л </t>
  </si>
  <si>
    <t xml:space="preserve">5.  Затраты на  Текущий ремонт  и  ТО, руб.  от балансовой ст-ти                             </t>
  </si>
  <si>
    <t xml:space="preserve"> Объем перевозки (стр. 5 х. стр. 6)                                                </t>
  </si>
  <si>
    <t>Общий пробег, км (стр. 5 х стр. 8)</t>
  </si>
  <si>
    <t xml:space="preserve">                                                                  Утверждаю:</t>
  </si>
  <si>
    <t xml:space="preserve">Количество рейсов за период  ( стр 4 х 4 рейса)                                                                    </t>
  </si>
  <si>
    <t>___________С.В. Мерзляков</t>
  </si>
  <si>
    <t xml:space="preserve">Балансовая стоимость трактора МТЗ-82 , руб.                                              </t>
  </si>
  <si>
    <t xml:space="preserve">_____________С.В. Мерзляков                                               </t>
  </si>
  <si>
    <t xml:space="preserve">    4.3. Расход смазочных матер.к факт. расходу топлива -5,1%, литр</t>
  </si>
  <si>
    <t xml:space="preserve">5.  Затраты на  Текущий ремонт  и  ТО, руб.  от балансовой ст-ти                              </t>
  </si>
  <si>
    <t xml:space="preserve">    4.1.  расхода диз. топлива при норме - на 1 час 6,6 л  всего литр</t>
  </si>
  <si>
    <t xml:space="preserve">1. Амортизация, руб.                                                      </t>
  </si>
  <si>
    <t>з/пл за 1 час</t>
  </si>
  <si>
    <t>транспортирования  ЖБО на автомобиле КО 520 на базе ЗИЛ</t>
  </si>
  <si>
    <t xml:space="preserve">Балансовая стоимость трактора Т-150К, руб.                                              </t>
  </si>
  <si>
    <t xml:space="preserve">                               </t>
  </si>
  <si>
    <t xml:space="preserve">                                                  Калькуляция</t>
  </si>
  <si>
    <t xml:space="preserve"> стоимости  1  часа услуг слесаря аварийно-востановительных работ </t>
  </si>
  <si>
    <t xml:space="preserve">, </t>
  </si>
  <si>
    <t xml:space="preserve">  Первомайское МУ ПП "Коммун-сервис" МО " Киясовский район"</t>
  </si>
  <si>
    <t>Затраты</t>
  </si>
  <si>
    <t>Норма  рабочего времени за год, час</t>
  </si>
  <si>
    <t>Должностной оклад</t>
  </si>
  <si>
    <t>1. Оплата труда. за 1 час</t>
  </si>
  <si>
    <t>часовая тарифная ставка</t>
  </si>
  <si>
    <t xml:space="preserve">уральские </t>
  </si>
  <si>
    <t>2. Отчисления ПРФ и соц. страх</t>
  </si>
  <si>
    <t>3. Общепроиз.   общехоз. расходы и прочие расходы</t>
  </si>
  <si>
    <t>4. Рентабельность</t>
  </si>
  <si>
    <t>6. Налог по упрощенной системе</t>
  </si>
  <si>
    <t>Стоимость 1 часа услуг слесаря. Руб.</t>
  </si>
  <si>
    <t>___________С.В Мерзляков</t>
  </si>
  <si>
    <t xml:space="preserve">                                                                      Утверждаю:</t>
  </si>
  <si>
    <t xml:space="preserve">                               Расчет стоимость услуг автомобиля УАЗ</t>
  </si>
  <si>
    <t xml:space="preserve">                     Первомайское МУ ПП  " Коммун-сервис" МО " Киясовский район"</t>
  </si>
  <si>
    <t xml:space="preserve">Балансовая стоимость  автомобиля УАЗ 29891 , руб.                                              </t>
  </si>
  <si>
    <t xml:space="preserve">Годовой пробег автомобиля </t>
  </si>
  <si>
    <t>км</t>
  </si>
  <si>
    <t xml:space="preserve">2.Зарплата водителя -всего ,руб .                                           </t>
  </si>
  <si>
    <t xml:space="preserve">    4.3.  Расход смазочных матер.к факт. расходу бензина -2,4%, литр</t>
  </si>
  <si>
    <t xml:space="preserve">5.  Затраты на  Текущий ремонт  и  ТО, руб.  от амортизации                              </t>
  </si>
  <si>
    <t xml:space="preserve">    4.2. Стоимость бензина при цене 1 литр -50,00 руб. </t>
  </si>
  <si>
    <t xml:space="preserve">   4.4. Стоимость  смазочных материалов при цене 300 руб за 1 л., руб </t>
  </si>
  <si>
    <t xml:space="preserve">         стажевые 30%                              </t>
  </si>
  <si>
    <t xml:space="preserve">              стоимости  1 часа услуг  трактора ДТ -75 </t>
  </si>
  <si>
    <t xml:space="preserve">Балансовая стоимость  автомобиля КАМАЗ 5320 , руб.                                              </t>
  </si>
  <si>
    <t xml:space="preserve">                               Расчет стоимость услуг автомобиля КАМАЗ 5320</t>
  </si>
  <si>
    <t xml:space="preserve">         классность 20 %                                              </t>
  </si>
  <si>
    <t xml:space="preserve">     4.4 Итого расход диз. топлива, литр</t>
  </si>
  <si>
    <t xml:space="preserve">    4.2. Стоимость диз. Топлива при цене 1 литр -50,00 руб. </t>
  </si>
  <si>
    <t>руб.</t>
  </si>
  <si>
    <t>участков водоснабжения и теплоснабжения на 2021 год</t>
  </si>
  <si>
    <t xml:space="preserve">         в т.ч тарифная ставка  за 1 час      ( оклад 10278 руб)                          </t>
  </si>
  <si>
    <t xml:space="preserve">2.Зарплата тракториста -всего ,руб .    (оклад 10278 руб.)                                       </t>
  </si>
  <si>
    <t xml:space="preserve">2.Зарплата тракториста -всего ,руб .   (оклад 12663 руб.)                                        </t>
  </si>
  <si>
    <t>(оклад 12663 руб.)</t>
  </si>
  <si>
    <t xml:space="preserve">    4.1.  расход  бензина  при норме - на 100 км - 14 литров всего</t>
  </si>
  <si>
    <t xml:space="preserve">         премия 25%                                                  </t>
  </si>
  <si>
    <t xml:space="preserve">6.  Прочие затраты </t>
  </si>
  <si>
    <t xml:space="preserve">стоимости  1  часа услуг трактора Т-150К   </t>
  </si>
  <si>
    <t>6. Прочие расходы (п.1+п.2+п.3+п.4+п.5)</t>
  </si>
  <si>
    <t xml:space="preserve">         стоимости  1  часа услуг трактора ЭО 2626 на базе МТЗ-82 ,</t>
  </si>
  <si>
    <t xml:space="preserve">2.Зарплата тракториста -всего ,руб .  (оклад 11412 руб.)                                         </t>
  </si>
  <si>
    <t xml:space="preserve">    4.3.  Расход смазочных матер.к факт. расходу топлива -6%, литр</t>
  </si>
  <si>
    <t xml:space="preserve">    4.1.  расход диз топлива при норме - на 1 час -7л </t>
  </si>
  <si>
    <t xml:space="preserve">         в т.ч тарифная ставка  за 1 час      ( оклад 12663 руб)                          </t>
  </si>
  <si>
    <t xml:space="preserve">    4.1.  расход  диз. топлива  при норме - на 100 км - 30 литров всего</t>
  </si>
  <si>
    <t xml:space="preserve">    4.3.  Расход смазочных матер.к факт. расходу диз.топлива -3,7%, литр</t>
  </si>
  <si>
    <t>Перевозка грузов</t>
  </si>
  <si>
    <t>т</t>
  </si>
  <si>
    <t>ткм.</t>
  </si>
  <si>
    <t>Объем грузоперевозок , ( k пробега=0,45, kгрузоподъемности= 0,6)</t>
  </si>
  <si>
    <t>13. Стоимость 1 ткм</t>
  </si>
  <si>
    <t xml:space="preserve">для   населения </t>
  </si>
  <si>
    <t xml:space="preserve"> для организаций и предприятий </t>
  </si>
  <si>
    <t xml:space="preserve">         стажевые 30%                                                </t>
  </si>
  <si>
    <t xml:space="preserve">премия </t>
  </si>
  <si>
    <t>стажевые</t>
  </si>
  <si>
    <t>отпускные</t>
  </si>
  <si>
    <t xml:space="preserve"> __________А.Ю. Камашев</t>
  </si>
  <si>
    <t xml:space="preserve"> Утверждаю:</t>
  </si>
  <si>
    <t>доставка ОПГС</t>
  </si>
  <si>
    <t>стоимость ОПГС 460 руб./т</t>
  </si>
  <si>
    <t>грузоподъемность</t>
  </si>
  <si>
    <t>8*460=3680</t>
  </si>
  <si>
    <t>расстояние до Яромаски 70 км</t>
  </si>
  <si>
    <t>итого</t>
  </si>
  <si>
    <t>*68,74=9623,6</t>
  </si>
  <si>
    <t>3680+9623,6=13303,6 руб</t>
  </si>
  <si>
    <t>стоимость 1 тонны ОПГС с доставкой   1662,95 руб.</t>
  </si>
  <si>
    <t>"____" _________20__г.</t>
  </si>
  <si>
    <t>"____" ___________20_г.</t>
  </si>
  <si>
    <t xml:space="preserve">                           </t>
  </si>
  <si>
    <t xml:space="preserve">Экономист Первомайского  МУ ПП «Коммун-сервис»           </t>
  </si>
  <si>
    <t>Шишова Т.А.</t>
  </si>
  <si>
    <t>"____" _________20___г.</t>
  </si>
  <si>
    <t xml:space="preserve">   4.4. Стоимость  смазочных материалов при цене 350 руб за 1 л., руб </t>
  </si>
  <si>
    <t xml:space="preserve">5.  Затраты на  Текущий ремонт  и  ТО, руб. % от балансовой ст-ти                             </t>
  </si>
  <si>
    <t xml:space="preserve">  "____" _____________20__г.</t>
  </si>
  <si>
    <t>Глава МО "Муниципальный округ "Киясовский район Удмуртской Республики"</t>
  </si>
  <si>
    <t xml:space="preserve">                                                            </t>
  </si>
  <si>
    <t>Директор Первомайского МУ ПП " Коммун-сервис"</t>
  </si>
  <si>
    <t xml:space="preserve">_____________ С.В. Мерзляков                          </t>
  </si>
  <si>
    <t xml:space="preserve">                                  </t>
  </si>
  <si>
    <t xml:space="preserve"> "____" _________________20__г.</t>
  </si>
  <si>
    <t xml:space="preserve"> ________________А.Ю. Камашев</t>
  </si>
  <si>
    <t xml:space="preserve">_____________ С.В. Мерзляков                                              </t>
  </si>
  <si>
    <t xml:space="preserve">                                                                          </t>
  </si>
  <si>
    <t>Утверждаю:</t>
  </si>
  <si>
    <t>_________А.Ю. Камашев</t>
  </si>
  <si>
    <t>"_____" __________ 20       г.</t>
  </si>
  <si>
    <t xml:space="preserve">Первомайское МУ ПП " Коммун-сервис" МО "Киясовский район" </t>
  </si>
  <si>
    <t xml:space="preserve"> транспортирования  ЖБО  на автомобиле КО 520 на базе ЗИЛ</t>
  </si>
  <si>
    <t>Глава МО "Муниципальный округ Киясовский район Удмуртской Республики"</t>
  </si>
  <si>
    <t>Глава МО "Муниципальный округ  Киясовский район Удмуртской Республики"</t>
  </si>
  <si>
    <t xml:space="preserve">                          </t>
  </si>
  <si>
    <t xml:space="preserve"> ____________А.Ю. Камашев</t>
  </si>
  <si>
    <t xml:space="preserve">                                             </t>
  </si>
  <si>
    <t>"____"  __________20__г.</t>
  </si>
  <si>
    <t xml:space="preserve">                                                               </t>
  </si>
  <si>
    <t xml:space="preserve">                                                        </t>
  </si>
  <si>
    <t xml:space="preserve">                                                          </t>
  </si>
  <si>
    <t xml:space="preserve"> "____" _____________20__г.</t>
  </si>
  <si>
    <t xml:space="preserve">                                                   </t>
  </si>
  <si>
    <t>_____________А.Ю. Камашев</t>
  </si>
  <si>
    <t xml:space="preserve">                                                 </t>
  </si>
  <si>
    <t>"____" _____________20__г.</t>
  </si>
  <si>
    <t xml:space="preserve"> "____" __________20__г.</t>
  </si>
  <si>
    <t xml:space="preserve">                                               </t>
  </si>
  <si>
    <t xml:space="preserve">                                           </t>
  </si>
  <si>
    <t xml:space="preserve">         стоимости  1  часа услуг трактора МТЗ-82,80</t>
  </si>
  <si>
    <t>5. Среднее расстояние перевозки до 4 км</t>
  </si>
  <si>
    <t>9.2. расход газа при норме  на закачку 1 бочки-1,2л</t>
  </si>
  <si>
    <t>9.4 Итого расход газа, литр ( п.9.1+п 9.2+п 9.3)</t>
  </si>
  <si>
    <t>9.1.  расхода газа  при норме на 100 км пробега, л</t>
  </si>
  <si>
    <t>8. Отчисления ПРФ и соц. страх, руб.</t>
  </si>
  <si>
    <t xml:space="preserve">4. Объем ЖБО   от населения (п2 х п3)                                                </t>
  </si>
  <si>
    <t xml:space="preserve">7.2.  премия 25%                                                  </t>
  </si>
  <si>
    <t xml:space="preserve">7.3.  стажевые 30%                                                </t>
  </si>
  <si>
    <t xml:space="preserve">7.4.  уральские 15%                                            </t>
  </si>
  <si>
    <t xml:space="preserve">7.5. отпускные 8,3%                                                </t>
  </si>
  <si>
    <t>7.Зарплата водителя - всего, руб . (п7*п1)</t>
  </si>
  <si>
    <t xml:space="preserve">7.1.  в т.ч тарифная ставка (оклад 11412 руб.*12/1973)                                </t>
  </si>
  <si>
    <t>"____"___________20    г.</t>
  </si>
  <si>
    <t xml:space="preserve">Годовой режим эксплуатации  автомобиля  (стр 3 х 8 час)                                   </t>
  </si>
  <si>
    <t xml:space="preserve">Балансовая стоимость автомобиля, руб.                                              </t>
  </si>
  <si>
    <t xml:space="preserve">         уральские 15%                                            </t>
  </si>
  <si>
    <t xml:space="preserve">         отпускные 8,3%                                                </t>
  </si>
  <si>
    <t>Амортизация, руб. ( стр.1 х стр. 2)</t>
  </si>
  <si>
    <t xml:space="preserve">Зарплата водителя -всего, руб . (исх стр.11 х стр 3)                                       </t>
  </si>
  <si>
    <t>Отчисления ПРФ и соц. страх, руб.</t>
  </si>
  <si>
    <t xml:space="preserve">Затраты на ГСМ, руб.  ( стр 23+ стр 25 )                                                         </t>
  </si>
  <si>
    <t>Расхода газа  при норме на 100 км пробега, л (стр 9 * 46,5%)</t>
  </si>
  <si>
    <t>Расход газа при норме  на закачку 1 бочки, л (стр 5* 1,2)</t>
  </si>
  <si>
    <t>9.3. повышающий коэф. на зимнее время-10%, 10% старость техники ((6мес*20%+6мес*10%)/12 мес)</t>
  </si>
  <si>
    <t>9.5. Стоимость газа при цене 1 литра газа, руб. (п9.4*п9.5)</t>
  </si>
  <si>
    <t>9.6.Расход смазочных матер.к факт. расходу топлива, % (п9.4*п9.6)</t>
  </si>
  <si>
    <t xml:space="preserve">9.7. Стоимость  смазочных материалов, руб. (п9.6*п9.7) </t>
  </si>
  <si>
    <t>Итого расход газа, литр (стр19+стр20+стр21)</t>
  </si>
  <si>
    <t xml:space="preserve">Транспортный налог, руб.                           </t>
  </si>
  <si>
    <t xml:space="preserve">Стоимость перегона 1 км. за пределы Киясово ( гсм), руб.(стр18/стр 9)                                             </t>
  </si>
  <si>
    <t xml:space="preserve">Итого  стоимость 1  куб м. откачки  и транспортировки ЖБО , руб. (стр33/стр 7)                                                                 </t>
  </si>
  <si>
    <t xml:space="preserve">Всего затрат , руб (стр30+стр31+стр32)                                                                                                 </t>
  </si>
  <si>
    <t xml:space="preserve"> Итого затрат, руб. (стр28+стр29)</t>
  </si>
  <si>
    <t xml:space="preserve"> Накладные расходы, руб.  (стр28*20%)</t>
  </si>
  <si>
    <t>Рентабельность, руб. (стр30*10%)</t>
  </si>
  <si>
    <t>Налог по упрощенной системе, руб. (стр31+стр32*1%)</t>
  </si>
  <si>
    <t xml:space="preserve"> Итого прямых затрат, руб. (стр10+стр11+стр17+стр18+стр26+стр27)</t>
  </si>
  <si>
    <t>Затраты на текущий ремонт  и  ТО, %  от балансовой стоимости, руб. (стр1*10%)</t>
  </si>
  <si>
    <t>Стоимость смазочных материалов,  руб (стр24*350,00)</t>
  </si>
  <si>
    <t>Расход смазочных матер.к факт. расходу топлива, л (стр22*2,9%)</t>
  </si>
  <si>
    <t>Стоимость газа, руб. (стр 22 * 35,00)</t>
  </si>
  <si>
    <t>Повышающий коэф. на зимнее время-10%, 10% старость техники ((6мес*20%+6мес*10%)/12 мес) (стр 19+стр 20*15%)</t>
  </si>
  <si>
    <t xml:space="preserve">                                                                    </t>
  </si>
  <si>
    <t xml:space="preserve">    4.1.  расхода диз. топлива при норме - на 1 час, литров всего</t>
  </si>
  <si>
    <t xml:space="preserve">    4.2. Стоимость диз топлива, руб. </t>
  </si>
  <si>
    <t xml:space="preserve">   4.4. Стоимость  смазочных материалов, руб </t>
  </si>
  <si>
    <t xml:space="preserve">    4.2. Стоимость диз топлива,руб.</t>
  </si>
  <si>
    <t xml:space="preserve">   4.4. Стоимость  смазочных материалов, руб. </t>
  </si>
  <si>
    <t xml:space="preserve">6. Транспортный налог                                                                       </t>
  </si>
  <si>
    <t>7. Прочие расходы (п.1+п.2+п.3+п.4+п.5)</t>
  </si>
  <si>
    <t xml:space="preserve">8.  Итого прямых затрат, руб.                         </t>
  </si>
  <si>
    <t xml:space="preserve">9.  Накладные расходы, руб.                                                  </t>
  </si>
  <si>
    <t xml:space="preserve">10. Рентабельность                                                                   </t>
  </si>
  <si>
    <t xml:space="preserve">11. Налог  по упрощенной системе </t>
  </si>
  <si>
    <t xml:space="preserve">12.  Всего затрат                                                                                                     </t>
  </si>
  <si>
    <t>Итого  стоимость 1  часа услуг , руб.  ( п. 11/ машино-часы)</t>
  </si>
  <si>
    <t xml:space="preserve">                                                                        </t>
  </si>
  <si>
    <t xml:space="preserve">  Утверждаю:</t>
  </si>
  <si>
    <t xml:space="preserve">5.  Затраты на  Текущий ремонт  и  ТО, руб. от балансовой ст-ти                              </t>
  </si>
  <si>
    <t xml:space="preserve"> стоимости  1  часа услуг сварщика</t>
  </si>
  <si>
    <t xml:space="preserve">Балансовая стоимость  автомобиля, руб.                                              </t>
  </si>
  <si>
    <t xml:space="preserve">    4.1.  расход  бензина  при норме - на 100 км - 9 литров всего</t>
  </si>
  <si>
    <t xml:space="preserve">    4.3. повышающий коэф. на зимнее время-20% и старость техники</t>
  </si>
  <si>
    <t>7 рейсов в день</t>
  </si>
  <si>
    <t>Первомайское МУ ПП " Коммун-сервис" Киясовского района</t>
  </si>
  <si>
    <t xml:space="preserve">10.  Затраты на  Текущий ремонт  и  ТО, руб.                               </t>
  </si>
  <si>
    <t xml:space="preserve">11. Транспортный налог                                                                       </t>
  </si>
  <si>
    <t xml:space="preserve">14. Рентабельность 10%                                                                  </t>
  </si>
  <si>
    <t xml:space="preserve">16.  Итого  стоимость 1 куб м. откачки  и                                транспортировки ЖБО , руб.  ( 12/п4)                                                                </t>
  </si>
  <si>
    <t xml:space="preserve">12.  Итого прямых затрат, руб.   (п 7+п 8 +п 9 +п10 +п11)                                                          </t>
  </si>
  <si>
    <t xml:space="preserve">13. Накладные расходы, руб.  10%  (п12*п13)                                       </t>
  </si>
  <si>
    <t xml:space="preserve">15.  Всего затрат   на транспортировку, руб.   ( п13+п14)                                                                                                 </t>
  </si>
  <si>
    <t xml:space="preserve">Норма амортизационных отчислений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</si>
</sst>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/>
    <xf numFmtId="0" fontId="1" fillId="0" borderId="1" xfId="0" applyFont="1" applyBorder="1"/>
    <xf numFmtId="0" fontId="4" fillId="0" borderId="2" xfId="0" applyFont="1" applyBorder="1" applyAlignment="1"/>
    <xf numFmtId="0" fontId="4" fillId="0" borderId="3" xfId="0" applyFont="1" applyBorder="1" applyAlignment="1"/>
    <xf numFmtId="0" fontId="4" fillId="0" borderId="1" xfId="0" applyFont="1" applyBorder="1" applyAlignment="1">
      <alignment horizontal="left"/>
    </xf>
    <xf numFmtId="0" fontId="1" fillId="0" borderId="2" xfId="0" applyFont="1" applyBorder="1" applyAlignment="1"/>
    <xf numFmtId="0" fontId="4" fillId="0" borderId="0" xfId="0" applyFont="1"/>
    <xf numFmtId="0" fontId="1" fillId="0" borderId="0" xfId="0" applyFont="1" applyAlignment="1"/>
    <xf numFmtId="0" fontId="4" fillId="0" borderId="0" xfId="0" applyFont="1" applyAlignment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/>
    <xf numFmtId="0" fontId="4" fillId="2" borderId="1" xfId="0" applyFont="1" applyFill="1" applyBorder="1"/>
    <xf numFmtId="2" fontId="4" fillId="0" borderId="1" xfId="0" applyNumberFormat="1" applyFont="1" applyBorder="1"/>
    <xf numFmtId="10" fontId="4" fillId="0" borderId="1" xfId="0" applyNumberFormat="1" applyFont="1" applyBorder="1"/>
    <xf numFmtId="9" fontId="4" fillId="0" borderId="1" xfId="0" applyNumberFormat="1" applyFont="1" applyBorder="1"/>
    <xf numFmtId="0" fontId="1" fillId="0" borderId="1" xfId="0" applyFont="1" applyBorder="1" applyAlignment="1"/>
    <xf numFmtId="0" fontId="1" fillId="0" borderId="3" xfId="0" applyFont="1" applyBorder="1" applyAlignment="1"/>
    <xf numFmtId="0" fontId="1" fillId="0" borderId="0" xfId="0" applyFont="1" applyBorder="1"/>
    <xf numFmtId="0" fontId="4" fillId="0" borderId="0" xfId="0" applyFont="1" applyBorder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/>
    <xf numFmtId="0" fontId="1" fillId="0" borderId="0" xfId="0" applyFont="1" applyBorder="1" applyAlignment="1"/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165" fontId="4" fillId="0" borderId="1" xfId="0" applyNumberFormat="1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/>
    <xf numFmtId="10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2" fontId="3" fillId="0" borderId="0" xfId="0" applyNumberFormat="1" applyFont="1" applyBorder="1" applyAlignment="1"/>
    <xf numFmtId="0" fontId="2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/>
    <xf numFmtId="164" fontId="5" fillId="0" borderId="1" xfId="0" applyNumberFormat="1" applyFont="1" applyBorder="1"/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1" fontId="9" fillId="0" borderId="11" xfId="0" applyNumberFormat="1" applyFont="1" applyBorder="1"/>
    <xf numFmtId="0" fontId="5" fillId="0" borderId="0" xfId="0" applyFont="1" applyBorder="1"/>
    <xf numFmtId="0" fontId="2" fillId="0" borderId="0" xfId="0" applyFont="1" applyAlignment="1"/>
    <xf numFmtId="0" fontId="2" fillId="0" borderId="5" xfId="0" applyFont="1" applyBorder="1" applyAlignment="1">
      <alignment horizontal="center"/>
    </xf>
    <xf numFmtId="0" fontId="1" fillId="2" borderId="1" xfId="0" applyFont="1" applyFill="1" applyBorder="1"/>
    <xf numFmtId="9" fontId="1" fillId="0" borderId="1" xfId="0" applyNumberFormat="1" applyFont="1" applyBorder="1"/>
    <xf numFmtId="2" fontId="1" fillId="0" borderId="1" xfId="0" applyNumberFormat="1" applyFont="1" applyBorder="1"/>
    <xf numFmtId="10" fontId="1" fillId="0" borderId="1" xfId="0" applyNumberFormat="1" applyFont="1" applyBorder="1"/>
    <xf numFmtId="0" fontId="2" fillId="0" borderId="0" xfId="0" applyFont="1" applyBorder="1" applyAlignment="1"/>
    <xf numFmtId="0" fontId="4" fillId="0" borderId="0" xfId="0" applyFont="1" applyBorder="1" applyAlignment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3" fillId="0" borderId="0" xfId="0" applyFont="1" applyAlignment="1"/>
    <xf numFmtId="0" fontId="7" fillId="0" borderId="1" xfId="0" applyFont="1" applyBorder="1" applyAlignment="1">
      <alignment horizontal="center" wrapText="1"/>
    </xf>
    <xf numFmtId="165" fontId="1" fillId="0" borderId="1" xfId="0" applyNumberFormat="1" applyFont="1" applyBorder="1"/>
    <xf numFmtId="2" fontId="5" fillId="0" borderId="0" xfId="0" applyNumberFormat="1" applyFont="1"/>
    <xf numFmtId="1" fontId="5" fillId="0" borderId="0" xfId="0" applyNumberFormat="1" applyFont="1"/>
    <xf numFmtId="0" fontId="1" fillId="0" borderId="0" xfId="0" applyFont="1" applyFill="1" applyBorder="1"/>
    <xf numFmtId="0" fontId="1" fillId="0" borderId="2" xfId="0" applyFont="1" applyBorder="1" applyAlignment="1"/>
    <xf numFmtId="0" fontId="1" fillId="0" borderId="3" xfId="0" applyFont="1" applyBorder="1" applyAlignment="1"/>
    <xf numFmtId="0" fontId="10" fillId="0" borderId="0" xfId="0" applyFont="1"/>
    <xf numFmtId="9" fontId="5" fillId="0" borderId="0" xfId="0" applyNumberFormat="1" applyFont="1"/>
    <xf numFmtId="2" fontId="0" fillId="0" borderId="0" xfId="0" applyNumberFormat="1"/>
    <xf numFmtId="0" fontId="3" fillId="0" borderId="2" xfId="0" applyFont="1" applyBorder="1" applyAlignment="1">
      <alignment horizontal="left"/>
    </xf>
    <xf numFmtId="0" fontId="1" fillId="0" borderId="4" xfId="0" applyFont="1" applyBorder="1"/>
    <xf numFmtId="0" fontId="1" fillId="0" borderId="11" xfId="0" applyFont="1" applyBorder="1"/>
    <xf numFmtId="0" fontId="3" fillId="0" borderId="11" xfId="0" applyFont="1" applyBorder="1"/>
    <xf numFmtId="0" fontId="1" fillId="0" borderId="3" xfId="0" applyFont="1" applyBorder="1"/>
    <xf numFmtId="0" fontId="0" fillId="0" borderId="0" xfId="0" applyAlignment="1"/>
    <xf numFmtId="0" fontId="1" fillId="0" borderId="0" xfId="0" applyFont="1" applyBorder="1" applyAlignment="1">
      <alignment horizontal="left"/>
    </xf>
    <xf numFmtId="0" fontId="5" fillId="0" borderId="0" xfId="0" applyFont="1" applyBorder="1" applyAlignment="1"/>
    <xf numFmtId="0" fontId="7" fillId="0" borderId="0" xfId="0" applyFont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4" fontId="1" fillId="0" borderId="1" xfId="0" applyNumberFormat="1" applyFont="1" applyBorder="1" applyAlignment="1"/>
    <xf numFmtId="4" fontId="3" fillId="0" borderId="1" xfId="0" applyNumberFormat="1" applyFont="1" applyBorder="1" applyAlignment="1"/>
    <xf numFmtId="10" fontId="5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3" fillId="0" borderId="1" xfId="0" applyNumberFormat="1" applyFont="1" applyBorder="1"/>
    <xf numFmtId="9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/>
    <xf numFmtId="4" fontId="4" fillId="2" borderId="1" xfId="0" applyNumberFormat="1" applyFont="1" applyFill="1" applyBorder="1"/>
    <xf numFmtId="4" fontId="6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/>
    <xf numFmtId="4" fontId="3" fillId="0" borderId="1" xfId="0" applyNumberFormat="1" applyFont="1" applyFill="1" applyBorder="1"/>
    <xf numFmtId="165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2" fillId="0" borderId="0" xfId="0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right"/>
    </xf>
    <xf numFmtId="49" fontId="1" fillId="0" borderId="2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9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90" zoomScaleNormal="90" workbookViewId="0">
      <selection activeCell="F31" sqref="F31"/>
    </sheetView>
  </sheetViews>
  <sheetFormatPr defaultRowHeight="15" x14ac:dyDescent="0.25"/>
  <cols>
    <col min="1" max="1" width="1" style="29" customWidth="1"/>
    <col min="2" max="3" width="9.140625" style="29"/>
    <col min="4" max="4" width="12.42578125" style="29" customWidth="1"/>
    <col min="5" max="5" width="23" style="29" customWidth="1"/>
    <col min="6" max="6" width="12.42578125" style="29" customWidth="1"/>
    <col min="7" max="7" width="14.7109375" style="29" customWidth="1"/>
    <col min="8" max="8" width="9.140625" style="29"/>
    <col min="9" max="9" width="10.42578125" style="29" bestFit="1" customWidth="1"/>
    <col min="10" max="16384" width="9.140625" style="29"/>
  </cols>
  <sheetData>
    <row r="1" spans="1:8" x14ac:dyDescent="0.25">
      <c r="B1" s="29" t="s">
        <v>15</v>
      </c>
      <c r="E1" s="30" t="s">
        <v>233</v>
      </c>
      <c r="F1" s="30" t="s">
        <v>168</v>
      </c>
      <c r="G1" s="30"/>
    </row>
    <row r="2" spans="1:8" ht="15.75" x14ac:dyDescent="0.25">
      <c r="B2" s="152" t="s">
        <v>173</v>
      </c>
      <c r="C2" s="152"/>
      <c r="D2" s="152"/>
      <c r="E2" s="99" t="s">
        <v>160</v>
      </c>
      <c r="F2" s="152" t="s">
        <v>161</v>
      </c>
      <c r="G2" s="152"/>
    </row>
    <row r="3" spans="1:8" ht="33.75" customHeight="1" x14ac:dyDescent="0.25">
      <c r="B3" s="152"/>
      <c r="C3" s="152"/>
      <c r="D3" s="152"/>
      <c r="E3" s="28"/>
      <c r="F3" s="152"/>
      <c r="G3" s="152"/>
    </row>
    <row r="4" spans="1:8" ht="24.75" customHeight="1" x14ac:dyDescent="0.25">
      <c r="B4" s="29" t="s">
        <v>67</v>
      </c>
      <c r="E4" s="30" t="s">
        <v>183</v>
      </c>
      <c r="F4" s="30" t="s">
        <v>184</v>
      </c>
      <c r="G4" s="30"/>
      <c r="H4" s="30"/>
    </row>
    <row r="5" spans="1:8" x14ac:dyDescent="0.25">
      <c r="B5" s="29" t="s">
        <v>150</v>
      </c>
      <c r="E5" s="30" t="s">
        <v>185</v>
      </c>
      <c r="F5" s="30" t="s">
        <v>186</v>
      </c>
      <c r="G5" s="30"/>
      <c r="H5" s="30"/>
    </row>
    <row r="6" spans="1:8" ht="15.75" x14ac:dyDescent="0.25">
      <c r="B6" s="1"/>
      <c r="C6" s="1"/>
      <c r="D6" s="1"/>
      <c r="E6" s="12"/>
      <c r="F6" s="12"/>
      <c r="G6" s="12"/>
    </row>
    <row r="7" spans="1:8" ht="18.75" x14ac:dyDescent="0.3">
      <c r="A7" s="49" t="s">
        <v>55</v>
      </c>
      <c r="B7" s="49"/>
      <c r="C7" s="49"/>
      <c r="D7" s="49"/>
      <c r="E7" s="49"/>
      <c r="F7" s="49"/>
      <c r="G7" s="49"/>
      <c r="H7" s="49"/>
    </row>
    <row r="8" spans="1:8" ht="18.75" x14ac:dyDescent="0.3">
      <c r="A8" s="49" t="s">
        <v>75</v>
      </c>
      <c r="B8" s="153" t="s">
        <v>119</v>
      </c>
      <c r="C8" s="153"/>
      <c r="D8" s="153"/>
      <c r="E8" s="153"/>
      <c r="F8" s="153"/>
      <c r="G8" s="153"/>
      <c r="H8" s="153"/>
    </row>
    <row r="9" spans="1:8" ht="18.75" x14ac:dyDescent="0.3">
      <c r="B9" s="69" t="s">
        <v>56</v>
      </c>
      <c r="C9" s="69"/>
      <c r="D9" s="69"/>
      <c r="E9" s="69"/>
      <c r="F9" s="69"/>
      <c r="G9" s="69"/>
    </row>
    <row r="10" spans="1:8" ht="18.75" x14ac:dyDescent="0.3">
      <c r="B10" s="64"/>
      <c r="C10" s="64"/>
      <c r="D10" s="64"/>
      <c r="E10" s="64"/>
      <c r="F10" s="64"/>
      <c r="G10" s="64"/>
    </row>
    <row r="11" spans="1:8" ht="31.5" x14ac:dyDescent="0.25">
      <c r="B11" s="154"/>
      <c r="C11" s="155"/>
      <c r="D11" s="155"/>
      <c r="E11" s="156"/>
      <c r="F11" s="39" t="s">
        <v>12</v>
      </c>
      <c r="G11" s="4" t="s">
        <v>13</v>
      </c>
    </row>
    <row r="12" spans="1:8" ht="15.75" x14ac:dyDescent="0.25">
      <c r="B12" s="145" t="s">
        <v>74</v>
      </c>
      <c r="C12" s="146"/>
      <c r="D12" s="146"/>
      <c r="E12" s="147"/>
      <c r="F12" s="39">
        <v>339438</v>
      </c>
      <c r="G12" s="107"/>
    </row>
    <row r="13" spans="1:8" ht="15.75" x14ac:dyDescent="0.25">
      <c r="B13" s="145" t="s">
        <v>37</v>
      </c>
      <c r="C13" s="146"/>
      <c r="D13" s="146"/>
      <c r="E13" s="147"/>
      <c r="F13" s="46">
        <v>0.1</v>
      </c>
      <c r="G13" s="107">
        <v>10</v>
      </c>
    </row>
    <row r="14" spans="1:8" ht="15.75" x14ac:dyDescent="0.25">
      <c r="B14" s="145" t="s">
        <v>5</v>
      </c>
      <c r="C14" s="146"/>
      <c r="D14" s="146"/>
      <c r="E14" s="147"/>
      <c r="F14" s="14" t="s">
        <v>30</v>
      </c>
      <c r="G14" s="107">
        <v>1080</v>
      </c>
    </row>
    <row r="15" spans="1:8" ht="15.75" x14ac:dyDescent="0.25">
      <c r="B15" s="145" t="s">
        <v>17</v>
      </c>
      <c r="C15" s="146"/>
      <c r="D15" s="146"/>
      <c r="E15" s="147"/>
      <c r="F15" s="14" t="s">
        <v>21</v>
      </c>
      <c r="G15" s="107">
        <f>G14*1.65</f>
        <v>1782</v>
      </c>
    </row>
    <row r="16" spans="1:8" ht="15.75" x14ac:dyDescent="0.25">
      <c r="B16" s="145" t="s">
        <v>35</v>
      </c>
      <c r="C16" s="146"/>
      <c r="D16" s="146"/>
      <c r="E16" s="147"/>
      <c r="F16" s="14"/>
      <c r="G16" s="108">
        <f>F12*G13%</f>
        <v>33943.800000000003</v>
      </c>
    </row>
    <row r="17" spans="2:9" ht="30" customHeight="1" x14ac:dyDescent="0.25">
      <c r="B17" s="145" t="s">
        <v>114</v>
      </c>
      <c r="C17" s="146"/>
      <c r="D17" s="146"/>
      <c r="E17" s="147"/>
      <c r="F17" s="41">
        <f>SUM(F18:F23)</f>
        <v>158.27552234999999</v>
      </c>
      <c r="G17" s="108">
        <f>F17*G14</f>
        <v>170937.56413799999</v>
      </c>
    </row>
    <row r="18" spans="2:9" ht="15.75" x14ac:dyDescent="0.25">
      <c r="B18" s="145" t="s">
        <v>22</v>
      </c>
      <c r="C18" s="146"/>
      <c r="D18" s="146"/>
      <c r="E18" s="147"/>
      <c r="F18" s="14">
        <v>77.02</v>
      </c>
      <c r="G18" s="107"/>
    </row>
    <row r="19" spans="2:9" ht="15.75" x14ac:dyDescent="0.25">
      <c r="B19" s="145" t="s">
        <v>18</v>
      </c>
      <c r="C19" s="146"/>
      <c r="D19" s="146"/>
      <c r="E19" s="147"/>
      <c r="F19" s="41">
        <f>F18*20%</f>
        <v>15.404</v>
      </c>
      <c r="G19" s="107"/>
    </row>
    <row r="20" spans="2:9" ht="15.75" x14ac:dyDescent="0.25">
      <c r="B20" s="145" t="s">
        <v>42</v>
      </c>
      <c r="C20" s="146"/>
      <c r="D20" s="146"/>
      <c r="E20" s="147"/>
      <c r="F20" s="41">
        <f>F18*15%</f>
        <v>11.552999999999999</v>
      </c>
      <c r="G20" s="107"/>
    </row>
    <row r="21" spans="2:9" ht="15.75" x14ac:dyDescent="0.25">
      <c r="B21" s="145" t="s">
        <v>19</v>
      </c>
      <c r="C21" s="146"/>
      <c r="D21" s="146"/>
      <c r="E21" s="147"/>
      <c r="F21" s="41">
        <f>F18*30%</f>
        <v>23.105999999999998</v>
      </c>
      <c r="G21" s="107"/>
    </row>
    <row r="22" spans="2:9" ht="15.75" x14ac:dyDescent="0.25">
      <c r="B22" s="145" t="s">
        <v>9</v>
      </c>
      <c r="C22" s="146"/>
      <c r="D22" s="146"/>
      <c r="E22" s="147"/>
      <c r="F22" s="41">
        <f>(F18+F19+F20+F21)*15%</f>
        <v>19.062449999999998</v>
      </c>
      <c r="G22" s="107"/>
    </row>
    <row r="23" spans="2:9" ht="15.75" x14ac:dyDescent="0.25">
      <c r="B23" s="145" t="s">
        <v>41</v>
      </c>
      <c r="C23" s="146"/>
      <c r="D23" s="146"/>
      <c r="E23" s="147"/>
      <c r="F23" s="41">
        <f>(F18+F19+F20+F21+F22)*8.3%</f>
        <v>12.130072349999999</v>
      </c>
      <c r="G23" s="107"/>
    </row>
    <row r="24" spans="2:9" ht="15.75" x14ac:dyDescent="0.25">
      <c r="B24" s="145" t="s">
        <v>32</v>
      </c>
      <c r="C24" s="146"/>
      <c r="D24" s="146"/>
      <c r="E24" s="147"/>
      <c r="F24" s="43">
        <v>0.30199999999999999</v>
      </c>
      <c r="G24" s="108">
        <f>G17*F24</f>
        <v>51623.144369675996</v>
      </c>
    </row>
    <row r="25" spans="2:9" ht="15.75" x14ac:dyDescent="0.25">
      <c r="B25" s="145" t="s">
        <v>23</v>
      </c>
      <c r="C25" s="146"/>
      <c r="D25" s="146"/>
      <c r="E25" s="147"/>
      <c r="F25" s="14"/>
      <c r="G25" s="108">
        <f>G27+G29</f>
        <v>1076198.3999999999</v>
      </c>
    </row>
    <row r="26" spans="2:9" ht="32.25" customHeight="1" x14ac:dyDescent="0.25">
      <c r="B26" s="145" t="s">
        <v>234</v>
      </c>
      <c r="C26" s="146"/>
      <c r="D26" s="146"/>
      <c r="E26" s="147"/>
      <c r="F26" s="41">
        <v>12.8</v>
      </c>
      <c r="G26" s="107">
        <f>F26*G14</f>
        <v>13824</v>
      </c>
    </row>
    <row r="27" spans="2:9" ht="15.75" customHeight="1" x14ac:dyDescent="0.25">
      <c r="B27" s="145" t="s">
        <v>235</v>
      </c>
      <c r="C27" s="146"/>
      <c r="D27" s="146"/>
      <c r="E27" s="147"/>
      <c r="F27" s="41">
        <v>60</v>
      </c>
      <c r="G27" s="107">
        <f>F27*G26</f>
        <v>829440</v>
      </c>
    </row>
    <row r="28" spans="2:9" ht="32.25" customHeight="1" x14ac:dyDescent="0.25">
      <c r="B28" s="145" t="s">
        <v>68</v>
      </c>
      <c r="C28" s="146"/>
      <c r="D28" s="146"/>
      <c r="E28" s="147"/>
      <c r="F28" s="43">
        <v>5.0999999999999997E-2</v>
      </c>
      <c r="G28" s="107">
        <f>F28*G26</f>
        <v>705.024</v>
      </c>
    </row>
    <row r="29" spans="2:9" ht="15.75" x14ac:dyDescent="0.25">
      <c r="B29" s="145" t="s">
        <v>236</v>
      </c>
      <c r="C29" s="146"/>
      <c r="D29" s="146"/>
      <c r="E29" s="147"/>
      <c r="F29" s="41">
        <v>350</v>
      </c>
      <c r="G29" s="107">
        <f>F29*G28</f>
        <v>246758.39999999999</v>
      </c>
    </row>
    <row r="30" spans="2:9" ht="29.25" customHeight="1" x14ac:dyDescent="0.25">
      <c r="B30" s="145" t="s">
        <v>69</v>
      </c>
      <c r="C30" s="146"/>
      <c r="D30" s="146"/>
      <c r="E30" s="147"/>
      <c r="F30" s="46">
        <v>0.35</v>
      </c>
      <c r="G30" s="108">
        <f>F30*F12</f>
        <v>118803.29999999999</v>
      </c>
    </row>
    <row r="31" spans="2:9" ht="15.75" x14ac:dyDescent="0.25">
      <c r="B31" s="145" t="s">
        <v>2</v>
      </c>
      <c r="C31" s="146"/>
      <c r="D31" s="146"/>
      <c r="E31" s="147"/>
      <c r="F31" s="14"/>
      <c r="G31" s="108">
        <v>4125</v>
      </c>
      <c r="I31" s="83"/>
    </row>
    <row r="32" spans="2:9" ht="15.75" x14ac:dyDescent="0.25">
      <c r="B32" s="145" t="s">
        <v>120</v>
      </c>
      <c r="C32" s="146"/>
      <c r="D32" s="146"/>
      <c r="E32" s="147"/>
      <c r="F32" s="46">
        <v>0.2</v>
      </c>
      <c r="G32" s="108">
        <f>ROUND((G16+G17+G24+G25+G30)*F32,2)</f>
        <v>290301.24</v>
      </c>
    </row>
    <row r="33" spans="2:7" ht="15.75" x14ac:dyDescent="0.25">
      <c r="B33" s="145" t="s">
        <v>20</v>
      </c>
      <c r="C33" s="146"/>
      <c r="D33" s="146"/>
      <c r="E33" s="147"/>
      <c r="F33" s="14"/>
      <c r="G33" s="109">
        <f>G32+G31+G30+G25+G24+G17+G16</f>
        <v>1745932.4485076759</v>
      </c>
    </row>
    <row r="34" spans="2:7" ht="15.75" x14ac:dyDescent="0.25">
      <c r="B34" s="145" t="s">
        <v>26</v>
      </c>
      <c r="C34" s="146"/>
      <c r="D34" s="146"/>
      <c r="E34" s="147"/>
      <c r="F34" s="46">
        <v>0.2</v>
      </c>
      <c r="G34" s="109">
        <f>G33*F34</f>
        <v>349186.4897015352</v>
      </c>
    </row>
    <row r="35" spans="2:7" ht="15.75" x14ac:dyDescent="0.25">
      <c r="B35" s="145" t="s">
        <v>1</v>
      </c>
      <c r="C35" s="146"/>
      <c r="D35" s="146"/>
      <c r="E35" s="147"/>
      <c r="F35" s="14"/>
      <c r="G35" s="109">
        <f>G33+G34</f>
        <v>2095118.938209211</v>
      </c>
    </row>
    <row r="36" spans="2:7" ht="15.75" x14ac:dyDescent="0.25">
      <c r="B36" s="145" t="s">
        <v>27</v>
      </c>
      <c r="C36" s="146"/>
      <c r="D36" s="146"/>
      <c r="E36" s="147"/>
      <c r="F36" s="46">
        <v>0.15</v>
      </c>
      <c r="G36" s="109">
        <f>G35*F36</f>
        <v>314267.84073138161</v>
      </c>
    </row>
    <row r="37" spans="2:7" ht="15.75" x14ac:dyDescent="0.25">
      <c r="B37" s="151" t="s">
        <v>38</v>
      </c>
      <c r="C37" s="151"/>
      <c r="D37" s="151"/>
      <c r="E37" s="151"/>
      <c r="F37" s="46">
        <v>0.01</v>
      </c>
      <c r="G37" s="109">
        <f>(G35+G36)*F37</f>
        <v>24093.867789405926</v>
      </c>
    </row>
    <row r="38" spans="2:7" ht="15.75" x14ac:dyDescent="0.25">
      <c r="B38" s="145" t="s">
        <v>24</v>
      </c>
      <c r="C38" s="146"/>
      <c r="D38" s="146"/>
      <c r="E38" s="147"/>
      <c r="F38" s="14"/>
      <c r="G38" s="109">
        <f>G35+G36+G37</f>
        <v>2433480.6467299983</v>
      </c>
    </row>
    <row r="39" spans="2:7" ht="15.75" x14ac:dyDescent="0.25">
      <c r="B39" s="148" t="s">
        <v>25</v>
      </c>
      <c r="C39" s="149"/>
      <c r="D39" s="149"/>
      <c r="E39" s="150"/>
      <c r="F39" s="14"/>
      <c r="G39" s="109">
        <f>ROUND(G38/G14,0)</f>
        <v>2253</v>
      </c>
    </row>
    <row r="40" spans="2:7" ht="15.75" x14ac:dyDescent="0.25">
      <c r="B40" s="24"/>
      <c r="C40" s="24"/>
      <c r="D40" s="24"/>
      <c r="E40" s="24"/>
      <c r="F40" s="24"/>
      <c r="G40" s="24"/>
    </row>
    <row r="41" spans="2:7" ht="23.25" customHeight="1" x14ac:dyDescent="0.25">
      <c r="B41" s="24" t="s">
        <v>153</v>
      </c>
      <c r="C41" s="24"/>
      <c r="D41" s="24"/>
      <c r="E41" s="24"/>
      <c r="F41" s="62"/>
      <c r="G41" s="62" t="s">
        <v>154</v>
      </c>
    </row>
    <row r="42" spans="2:7" ht="14.25" customHeight="1" x14ac:dyDescent="0.25">
      <c r="B42" s="24"/>
      <c r="C42" s="24"/>
      <c r="D42" s="24"/>
      <c r="E42" s="24"/>
      <c r="F42" s="24"/>
      <c r="G42" s="24"/>
    </row>
  </sheetData>
  <mergeCells count="32">
    <mergeCell ref="B2:D3"/>
    <mergeCell ref="F2:G3"/>
    <mergeCell ref="B8:H8"/>
    <mergeCell ref="B35:E35"/>
    <mergeCell ref="B36:E36"/>
    <mergeCell ref="B23:E23"/>
    <mergeCell ref="B24:E24"/>
    <mergeCell ref="B25:E25"/>
    <mergeCell ref="B11:E11"/>
    <mergeCell ref="B15:E15"/>
    <mergeCell ref="B12:E12"/>
    <mergeCell ref="B13:E13"/>
    <mergeCell ref="B14:E14"/>
    <mergeCell ref="B16:E16"/>
    <mergeCell ref="B17:E17"/>
    <mergeCell ref="B18:E18"/>
    <mergeCell ref="B39:E39"/>
    <mergeCell ref="B26:E26"/>
    <mergeCell ref="B29:E29"/>
    <mergeCell ref="B30:E30"/>
    <mergeCell ref="B31:E31"/>
    <mergeCell ref="B33:E33"/>
    <mergeCell ref="B34:E34"/>
    <mergeCell ref="B27:E27"/>
    <mergeCell ref="B28:E28"/>
    <mergeCell ref="B37:E37"/>
    <mergeCell ref="B32:E32"/>
    <mergeCell ref="B19:E19"/>
    <mergeCell ref="B20:E20"/>
    <mergeCell ref="B21:E21"/>
    <mergeCell ref="B22:E22"/>
    <mergeCell ref="B38:E38"/>
  </mergeCells>
  <pageMargins left="0.62" right="0.21" top="0.34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selection activeCell="G24" sqref="G24:H24"/>
    </sheetView>
  </sheetViews>
  <sheetFormatPr defaultRowHeight="15" x14ac:dyDescent="0.25"/>
  <cols>
    <col min="1" max="4" width="9.140625" style="29"/>
    <col min="5" max="5" width="12.42578125" style="29" customWidth="1"/>
    <col min="6" max="6" width="0.42578125" style="29" customWidth="1"/>
    <col min="7" max="7" width="9.140625" style="29"/>
    <col min="8" max="9" width="9.140625" style="29" customWidth="1"/>
    <col min="10" max="10" width="8.7109375" style="29" customWidth="1"/>
    <col min="11" max="16384" width="9.140625" style="29"/>
  </cols>
  <sheetData>
    <row r="1" spans="1:10" ht="15.75" x14ac:dyDescent="0.25">
      <c r="A1" s="1" t="s">
        <v>15</v>
      </c>
      <c r="B1" s="1"/>
      <c r="C1" s="1"/>
      <c r="D1" s="12" t="s">
        <v>179</v>
      </c>
      <c r="E1" s="12"/>
      <c r="F1" s="12"/>
      <c r="G1" s="1" t="s">
        <v>140</v>
      </c>
    </row>
    <row r="2" spans="1:10" ht="33.75" customHeight="1" x14ac:dyDescent="0.25">
      <c r="A2" s="152" t="s">
        <v>173</v>
      </c>
      <c r="B2" s="152"/>
      <c r="C2" s="152"/>
      <c r="D2" s="99" t="s">
        <v>160</v>
      </c>
      <c r="G2" s="152" t="s">
        <v>161</v>
      </c>
      <c r="H2" s="152"/>
      <c r="I2" s="152"/>
    </row>
    <row r="3" spans="1:10" ht="31.5" customHeight="1" x14ac:dyDescent="0.25">
      <c r="A3" s="152"/>
      <c r="B3" s="152"/>
      <c r="C3" s="152"/>
      <c r="D3" s="28"/>
      <c r="G3" s="1" t="s">
        <v>176</v>
      </c>
      <c r="H3" s="28"/>
      <c r="I3" s="28"/>
    </row>
    <row r="4" spans="1:10" ht="15.75" x14ac:dyDescent="0.25">
      <c r="A4" s="1" t="s">
        <v>91</v>
      </c>
      <c r="B4" s="1"/>
      <c r="C4" s="1"/>
      <c r="D4" s="12"/>
      <c r="E4" s="12" t="s">
        <v>175</v>
      </c>
      <c r="F4" s="12"/>
      <c r="G4" s="1" t="s">
        <v>178</v>
      </c>
    </row>
    <row r="5" spans="1:10" ht="15.75" x14ac:dyDescent="0.25">
      <c r="A5" s="1" t="s">
        <v>155</v>
      </c>
      <c r="B5" s="1"/>
      <c r="C5" s="1"/>
      <c r="D5" s="12" t="s">
        <v>177</v>
      </c>
      <c r="E5" s="12"/>
      <c r="F5" s="12"/>
    </row>
    <row r="6" spans="1:10" ht="15.75" x14ac:dyDescent="0.25">
      <c r="A6" s="1"/>
      <c r="B6" s="1"/>
      <c r="C6" s="1"/>
      <c r="D6" s="12"/>
      <c r="E6" s="12"/>
      <c r="F6" s="12"/>
      <c r="G6" s="1"/>
    </row>
    <row r="7" spans="1:10" ht="18.75" x14ac:dyDescent="0.3">
      <c r="A7" s="214" t="s">
        <v>76</v>
      </c>
      <c r="B7" s="214"/>
      <c r="C7" s="214"/>
      <c r="D7" s="214"/>
      <c r="E7" s="214"/>
      <c r="F7" s="214"/>
      <c r="G7" s="214"/>
      <c r="H7" s="214"/>
      <c r="I7" s="1"/>
    </row>
    <row r="8" spans="1:10" ht="18.75" x14ac:dyDescent="0.3">
      <c r="A8" s="63" t="s">
        <v>77</v>
      </c>
      <c r="B8" s="63"/>
      <c r="C8" s="63"/>
      <c r="D8" s="63"/>
      <c r="E8" s="63"/>
      <c r="F8" s="63"/>
      <c r="G8" s="63"/>
      <c r="H8" s="63"/>
      <c r="I8" s="1"/>
    </row>
    <row r="9" spans="1:10" ht="18.75" x14ac:dyDescent="0.3">
      <c r="A9" s="2"/>
      <c r="B9" s="63" t="s">
        <v>111</v>
      </c>
      <c r="C9" s="63"/>
      <c r="D9" s="63"/>
      <c r="E9" s="63"/>
      <c r="F9" s="63"/>
      <c r="G9" s="63"/>
      <c r="H9" s="63"/>
      <c r="I9" s="12"/>
      <c r="J9" s="29" t="s">
        <v>78</v>
      </c>
    </row>
    <row r="10" spans="1:10" ht="18.75" x14ac:dyDescent="0.3">
      <c r="A10" s="165" t="s">
        <v>79</v>
      </c>
      <c r="B10" s="165"/>
      <c r="C10" s="165"/>
      <c r="D10" s="165"/>
      <c r="E10" s="165"/>
      <c r="F10" s="165"/>
      <c r="G10" s="165"/>
      <c r="H10" s="165"/>
      <c r="I10" s="165"/>
      <c r="J10" s="165"/>
    </row>
    <row r="11" spans="1:10" ht="8.25" customHeight="1" x14ac:dyDescent="0.3">
      <c r="A11" s="64"/>
      <c r="B11" s="64"/>
      <c r="C11" s="64"/>
      <c r="D11" s="64"/>
      <c r="E11" s="64"/>
      <c r="F11" s="64"/>
      <c r="G11" s="64"/>
      <c r="H11" s="64"/>
      <c r="I11" s="64"/>
      <c r="J11" s="64"/>
    </row>
    <row r="12" spans="1:10" x14ac:dyDescent="0.25">
      <c r="A12" s="200"/>
      <c r="B12" s="211"/>
      <c r="C12" s="211"/>
      <c r="D12" s="211"/>
      <c r="E12" s="211"/>
      <c r="F12" s="201"/>
      <c r="G12" s="200" t="s">
        <v>12</v>
      </c>
      <c r="H12" s="201"/>
      <c r="I12" s="200" t="s">
        <v>80</v>
      </c>
      <c r="J12" s="201"/>
    </row>
    <row r="13" spans="1:10" x14ac:dyDescent="0.25">
      <c r="A13" s="204" t="s">
        <v>81</v>
      </c>
      <c r="B13" s="205"/>
      <c r="C13" s="205"/>
      <c r="D13" s="205"/>
      <c r="E13" s="205"/>
      <c r="F13" s="206"/>
      <c r="G13" s="200">
        <v>1973</v>
      </c>
      <c r="H13" s="201"/>
      <c r="I13" s="200"/>
      <c r="J13" s="201"/>
    </row>
    <row r="14" spans="1:10" x14ac:dyDescent="0.25">
      <c r="A14" s="204" t="s">
        <v>82</v>
      </c>
      <c r="B14" s="205"/>
      <c r="C14" s="205"/>
      <c r="D14" s="205"/>
      <c r="E14" s="205"/>
      <c r="F14" s="206"/>
      <c r="G14" s="212">
        <v>11412</v>
      </c>
      <c r="H14" s="213"/>
      <c r="I14" s="200"/>
      <c r="J14" s="201"/>
    </row>
    <row r="15" spans="1:10" x14ac:dyDescent="0.25">
      <c r="A15" s="71" t="s">
        <v>83</v>
      </c>
      <c r="B15" s="72"/>
      <c r="C15" s="72"/>
      <c r="D15" s="72"/>
      <c r="E15" s="72"/>
      <c r="F15" s="73"/>
      <c r="G15" s="74"/>
      <c r="H15" s="75"/>
      <c r="I15" s="208">
        <f>I16+I17+I18+I19+I20</f>
        <v>140.4758623125</v>
      </c>
      <c r="J15" s="209"/>
    </row>
    <row r="16" spans="1:10" x14ac:dyDescent="0.25">
      <c r="A16" s="200" t="s">
        <v>84</v>
      </c>
      <c r="B16" s="211"/>
      <c r="C16" s="211"/>
      <c r="D16" s="211"/>
      <c r="E16" s="211"/>
      <c r="F16" s="201"/>
      <c r="G16" s="208" t="s">
        <v>110</v>
      </c>
      <c r="H16" s="209"/>
      <c r="I16" s="208">
        <v>69.41</v>
      </c>
      <c r="J16" s="201"/>
    </row>
    <row r="17" spans="1:10" x14ac:dyDescent="0.25">
      <c r="A17" s="200" t="s">
        <v>136</v>
      </c>
      <c r="B17" s="211"/>
      <c r="C17" s="211"/>
      <c r="D17" s="211"/>
      <c r="E17" s="211"/>
      <c r="F17" s="201"/>
      <c r="G17" s="207">
        <v>0.25</v>
      </c>
      <c r="H17" s="201"/>
      <c r="I17" s="208">
        <f>I16*G17</f>
        <v>17.352499999999999</v>
      </c>
      <c r="J17" s="209"/>
    </row>
    <row r="18" spans="1:10" x14ac:dyDescent="0.25">
      <c r="A18" s="200" t="s">
        <v>137</v>
      </c>
      <c r="B18" s="211"/>
      <c r="C18" s="211"/>
      <c r="D18" s="211"/>
      <c r="E18" s="211"/>
      <c r="F18" s="201"/>
      <c r="G18" s="207">
        <v>0.3</v>
      </c>
      <c r="H18" s="201"/>
      <c r="I18" s="208">
        <f>(I16+I17+I185)*G18</f>
        <v>26.028749999999995</v>
      </c>
      <c r="J18" s="209"/>
    </row>
    <row r="19" spans="1:10" x14ac:dyDescent="0.25">
      <c r="A19" s="200" t="s">
        <v>85</v>
      </c>
      <c r="B19" s="211"/>
      <c r="C19" s="211"/>
      <c r="D19" s="211"/>
      <c r="E19" s="211"/>
      <c r="F19" s="201"/>
      <c r="G19" s="207">
        <v>0.15</v>
      </c>
      <c r="H19" s="201"/>
      <c r="I19" s="208">
        <f>(I16+I17+I18)*G19</f>
        <v>16.918687499999997</v>
      </c>
      <c r="J19" s="209"/>
    </row>
    <row r="20" spans="1:10" x14ac:dyDescent="0.25">
      <c r="A20" s="200" t="s">
        <v>138</v>
      </c>
      <c r="B20" s="211"/>
      <c r="C20" s="211"/>
      <c r="D20" s="211"/>
      <c r="E20" s="211"/>
      <c r="F20" s="201"/>
      <c r="G20" s="207">
        <v>8.3000000000000004E-2</v>
      </c>
      <c r="H20" s="201"/>
      <c r="I20" s="208">
        <f>(I16+I17+I18+I19)*G20</f>
        <v>10.7659248125</v>
      </c>
      <c r="J20" s="209"/>
    </row>
    <row r="21" spans="1:10" x14ac:dyDescent="0.25">
      <c r="A21" s="204" t="s">
        <v>86</v>
      </c>
      <c r="B21" s="205"/>
      <c r="C21" s="205"/>
      <c r="D21" s="205"/>
      <c r="E21" s="205"/>
      <c r="F21" s="206"/>
      <c r="G21" s="210">
        <v>0.30199999999999999</v>
      </c>
      <c r="H21" s="201"/>
      <c r="I21" s="208">
        <f>(I16+I17+I18+I19+I20)*30.2%</f>
        <v>42.423710418374995</v>
      </c>
      <c r="J21" s="209"/>
    </row>
    <row r="22" spans="1:10" x14ac:dyDescent="0.25">
      <c r="A22" s="204" t="s">
        <v>87</v>
      </c>
      <c r="B22" s="205"/>
      <c r="C22" s="205"/>
      <c r="D22" s="205"/>
      <c r="E22" s="205"/>
      <c r="F22" s="206"/>
      <c r="G22" s="207">
        <v>0.2</v>
      </c>
      <c r="H22" s="201"/>
      <c r="I22" s="208">
        <f>(I15+I21)*G22</f>
        <v>36.579914546174997</v>
      </c>
      <c r="J22" s="209"/>
    </row>
    <row r="23" spans="1:10" x14ac:dyDescent="0.25">
      <c r="A23" s="204" t="s">
        <v>88</v>
      </c>
      <c r="B23" s="205"/>
      <c r="C23" s="205"/>
      <c r="D23" s="205"/>
      <c r="E23" s="205"/>
      <c r="F23" s="206"/>
      <c r="G23" s="207">
        <v>0.3</v>
      </c>
      <c r="H23" s="201"/>
      <c r="I23" s="208">
        <f>(I15+I21+I22)*G23</f>
        <v>65.843846183114991</v>
      </c>
      <c r="J23" s="209"/>
    </row>
    <row r="24" spans="1:10" x14ac:dyDescent="0.25">
      <c r="A24" s="204" t="s">
        <v>89</v>
      </c>
      <c r="B24" s="205"/>
      <c r="C24" s="205"/>
      <c r="D24" s="205"/>
      <c r="E24" s="205"/>
      <c r="F24" s="206"/>
      <c r="G24" s="207">
        <v>0.01</v>
      </c>
      <c r="H24" s="201"/>
      <c r="I24" s="208">
        <f>(I15+I21+I22+I23)*G24</f>
        <v>2.8532333346016499</v>
      </c>
      <c r="J24" s="209"/>
    </row>
    <row r="25" spans="1:10" x14ac:dyDescent="0.25">
      <c r="A25" s="197" t="s">
        <v>90</v>
      </c>
      <c r="B25" s="198"/>
      <c r="C25" s="198"/>
      <c r="D25" s="198"/>
      <c r="E25" s="198"/>
      <c r="F25" s="199"/>
      <c r="G25" s="200"/>
      <c r="H25" s="201"/>
      <c r="I25" s="202">
        <f>I15+I21+I22+I23+I24</f>
        <v>288.17656679476664</v>
      </c>
      <c r="J25" s="203"/>
    </row>
    <row r="27" spans="1:10" ht="15.75" x14ac:dyDescent="0.25">
      <c r="A27" s="24" t="s">
        <v>153</v>
      </c>
      <c r="B27" s="24"/>
      <c r="C27" s="24"/>
      <c r="D27" s="24"/>
      <c r="E27" s="62"/>
      <c r="I27" s="62" t="s">
        <v>154</v>
      </c>
    </row>
    <row r="30" spans="1:10" x14ac:dyDescent="0.25">
      <c r="A30" s="98"/>
      <c r="B30" s="98"/>
      <c r="C30" s="98"/>
      <c r="D30" s="98"/>
      <c r="E30" s="98"/>
      <c r="F30" s="98"/>
      <c r="G30" s="98"/>
      <c r="H30" s="98"/>
      <c r="I30" s="98"/>
      <c r="J30" s="98"/>
    </row>
    <row r="31" spans="1:10" ht="18.75" customHeight="1" x14ac:dyDescent="0.25">
      <c r="A31" s="98"/>
      <c r="B31" s="98"/>
      <c r="C31" s="98"/>
      <c r="D31" s="98"/>
      <c r="E31" s="98"/>
      <c r="F31" s="98"/>
      <c r="G31" s="98"/>
      <c r="H31" s="98"/>
      <c r="I31" s="98"/>
      <c r="J31" s="98"/>
    </row>
    <row r="32" spans="1:10" ht="18.75" customHeight="1" x14ac:dyDescent="0.25">
      <c r="A32" s="98"/>
      <c r="B32" s="98"/>
      <c r="C32" s="98"/>
      <c r="D32" s="98"/>
      <c r="E32" s="98"/>
      <c r="F32" s="98"/>
      <c r="G32" s="98"/>
      <c r="H32" s="98"/>
      <c r="I32" s="98"/>
      <c r="J32" s="98"/>
    </row>
    <row r="33" spans="1:10" ht="18.75" customHeight="1" x14ac:dyDescent="0.25">
      <c r="A33" s="98"/>
      <c r="B33" s="98"/>
      <c r="C33" s="98"/>
      <c r="D33" s="98"/>
      <c r="E33" s="98"/>
      <c r="F33" s="98"/>
      <c r="G33" s="98"/>
      <c r="H33" s="98"/>
      <c r="I33" s="98"/>
      <c r="J33" s="98"/>
    </row>
    <row r="34" spans="1:10" ht="18.75" customHeight="1" x14ac:dyDescent="0.25">
      <c r="A34" s="98"/>
      <c r="B34" s="98"/>
      <c r="C34" s="98"/>
      <c r="D34" s="98"/>
      <c r="E34" s="98"/>
      <c r="F34" s="98"/>
      <c r="G34" s="98"/>
      <c r="H34" s="98"/>
      <c r="I34" s="98"/>
      <c r="J34" s="98"/>
    </row>
    <row r="35" spans="1:10" ht="18.75" customHeight="1" x14ac:dyDescent="0.25">
      <c r="A35" s="98"/>
      <c r="B35" s="98"/>
      <c r="C35" s="98"/>
      <c r="D35" s="98"/>
      <c r="E35" s="98"/>
      <c r="F35" s="98"/>
      <c r="G35" s="98"/>
      <c r="H35" s="98"/>
      <c r="I35" s="98"/>
      <c r="J35" s="98"/>
    </row>
    <row r="36" spans="1:10" x14ac:dyDescent="0.25">
      <c r="A36" s="98"/>
      <c r="B36" s="98"/>
      <c r="C36" s="98"/>
      <c r="D36" s="98"/>
      <c r="E36" s="98"/>
      <c r="F36" s="98"/>
      <c r="G36" s="98"/>
      <c r="H36" s="98"/>
      <c r="I36" s="98"/>
      <c r="J36" s="98"/>
    </row>
    <row r="37" spans="1:10" x14ac:dyDescent="0.25">
      <c r="A37" s="98"/>
      <c r="B37" s="98"/>
      <c r="C37" s="98"/>
      <c r="D37" s="98"/>
      <c r="E37" s="98"/>
      <c r="F37" s="98"/>
      <c r="G37" s="98"/>
      <c r="H37" s="98"/>
      <c r="I37" s="98"/>
      <c r="J37" s="98"/>
    </row>
    <row r="38" spans="1:10" x14ac:dyDescent="0.25">
      <c r="A38" s="98"/>
      <c r="B38" s="98"/>
      <c r="C38" s="98"/>
      <c r="D38" s="98"/>
      <c r="E38" s="98"/>
      <c r="F38" s="98"/>
      <c r="G38" s="98"/>
      <c r="H38" s="98"/>
      <c r="I38" s="98"/>
      <c r="J38" s="98"/>
    </row>
    <row r="39" spans="1:10" x14ac:dyDescent="0.25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x14ac:dyDescent="0.25">
      <c r="A40" s="98"/>
      <c r="B40" s="98"/>
      <c r="C40" s="98"/>
      <c r="D40" s="98"/>
      <c r="E40" s="98"/>
      <c r="F40" s="98"/>
      <c r="G40" s="98"/>
      <c r="H40" s="98"/>
      <c r="I40" s="98"/>
      <c r="J40" s="98"/>
    </row>
    <row r="41" spans="1:10" x14ac:dyDescent="0.25">
      <c r="A41" s="98"/>
      <c r="B41" s="98"/>
      <c r="C41" s="98"/>
      <c r="D41" s="98"/>
      <c r="E41" s="98"/>
      <c r="F41" s="98"/>
      <c r="G41" s="98"/>
      <c r="H41" s="98"/>
      <c r="I41" s="98"/>
      <c r="J41" s="98"/>
    </row>
    <row r="42" spans="1:10" x14ac:dyDescent="0.25">
      <c r="A42" s="98"/>
      <c r="B42" s="98"/>
      <c r="C42" s="98"/>
      <c r="D42" s="98"/>
      <c r="E42" s="98"/>
      <c r="F42" s="98"/>
      <c r="G42" s="98"/>
      <c r="H42" s="98"/>
      <c r="I42" s="98"/>
      <c r="J42" s="98"/>
    </row>
    <row r="43" spans="1:10" x14ac:dyDescent="0.25">
      <c r="A43" s="98"/>
      <c r="B43" s="98"/>
      <c r="C43" s="98"/>
      <c r="D43" s="98"/>
      <c r="E43" s="98"/>
      <c r="F43" s="98"/>
      <c r="G43" s="98"/>
      <c r="H43" s="98"/>
      <c r="I43" s="98"/>
      <c r="J43" s="98"/>
    </row>
    <row r="44" spans="1:10" x14ac:dyDescent="0.25">
      <c r="A44" s="98"/>
      <c r="B44" s="98"/>
      <c r="C44" s="98"/>
      <c r="D44" s="98"/>
      <c r="E44" s="98"/>
      <c r="F44" s="98"/>
      <c r="G44" s="98"/>
      <c r="H44" s="98"/>
      <c r="I44" s="98"/>
      <c r="J44" s="98"/>
    </row>
    <row r="45" spans="1:10" x14ac:dyDescent="0.25">
      <c r="A45" s="98"/>
      <c r="B45" s="98"/>
      <c r="C45" s="98"/>
      <c r="D45" s="98"/>
      <c r="E45" s="98"/>
      <c r="F45" s="98"/>
      <c r="G45" s="98"/>
      <c r="H45" s="98"/>
      <c r="I45" s="98"/>
      <c r="J45" s="98"/>
    </row>
    <row r="46" spans="1:10" x14ac:dyDescent="0.25">
      <c r="A46" s="98"/>
      <c r="B46" s="98"/>
      <c r="C46" s="98"/>
      <c r="D46" s="98"/>
      <c r="E46" s="98"/>
      <c r="F46" s="98"/>
      <c r="G46" s="98"/>
      <c r="H46" s="98"/>
      <c r="I46" s="98"/>
      <c r="J46" s="98"/>
    </row>
    <row r="47" spans="1:10" x14ac:dyDescent="0.25">
      <c r="A47" s="98"/>
      <c r="B47" s="98"/>
      <c r="C47" s="98"/>
      <c r="D47" s="98"/>
      <c r="E47" s="98"/>
      <c r="F47" s="98"/>
      <c r="G47" s="98"/>
      <c r="H47" s="98"/>
      <c r="I47" s="98"/>
      <c r="J47" s="98"/>
    </row>
    <row r="48" spans="1:10" x14ac:dyDescent="0.25">
      <c r="A48" s="98"/>
      <c r="B48" s="98"/>
      <c r="C48" s="98"/>
      <c r="D48" s="98"/>
      <c r="E48" s="98"/>
      <c r="F48" s="98"/>
      <c r="G48" s="98"/>
      <c r="H48" s="98"/>
      <c r="I48" s="98"/>
      <c r="J48" s="98"/>
    </row>
    <row r="49" spans="1:10" x14ac:dyDescent="0.25">
      <c r="A49" s="98"/>
      <c r="B49" s="98"/>
      <c r="C49" s="98"/>
      <c r="D49" s="98"/>
      <c r="E49" s="98"/>
      <c r="F49" s="98"/>
      <c r="G49" s="98"/>
      <c r="H49" s="98"/>
      <c r="I49" s="98"/>
      <c r="J49" s="98"/>
    </row>
    <row r="50" spans="1:10" x14ac:dyDescent="0.25">
      <c r="A50" s="98"/>
      <c r="B50" s="98"/>
      <c r="C50" s="98"/>
      <c r="D50" s="98"/>
      <c r="E50" s="98"/>
      <c r="F50" s="98"/>
      <c r="G50" s="98"/>
      <c r="H50" s="98"/>
      <c r="I50" s="98"/>
      <c r="J50" s="98"/>
    </row>
    <row r="51" spans="1:10" x14ac:dyDescent="0.25">
      <c r="A51" s="98"/>
      <c r="B51" s="98"/>
      <c r="C51" s="98"/>
      <c r="D51" s="98"/>
      <c r="E51" s="98"/>
      <c r="F51" s="98"/>
      <c r="G51" s="98"/>
      <c r="H51" s="98"/>
      <c r="I51" s="98"/>
      <c r="J51" s="98"/>
    </row>
  </sheetData>
  <mergeCells count="44">
    <mergeCell ref="A2:C3"/>
    <mergeCell ref="G2:I2"/>
    <mergeCell ref="A13:F13"/>
    <mergeCell ref="G13:H13"/>
    <mergeCell ref="I13:J13"/>
    <mergeCell ref="A7:H7"/>
    <mergeCell ref="A10:J10"/>
    <mergeCell ref="A12:F12"/>
    <mergeCell ref="G12:H12"/>
    <mergeCell ref="I12:J12"/>
    <mergeCell ref="A14:F14"/>
    <mergeCell ref="G14:H14"/>
    <mergeCell ref="I14:J14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F20"/>
    <mergeCell ref="G20:H20"/>
    <mergeCell ref="I20:J20"/>
    <mergeCell ref="A21:F21"/>
    <mergeCell ref="G21:H21"/>
    <mergeCell ref="I21:J21"/>
    <mergeCell ref="A22:F22"/>
    <mergeCell ref="G22:H22"/>
    <mergeCell ref="I22:J22"/>
    <mergeCell ref="A25:F25"/>
    <mergeCell ref="G25:H25"/>
    <mergeCell ref="I25:J25"/>
    <mergeCell ref="A23:F23"/>
    <mergeCell ref="G23:H23"/>
    <mergeCell ref="I23:J23"/>
    <mergeCell ref="A24:F24"/>
    <mergeCell ref="G24:H24"/>
    <mergeCell ref="I24:J2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G13" sqref="G13:H13"/>
    </sheetView>
  </sheetViews>
  <sheetFormatPr defaultRowHeight="15" x14ac:dyDescent="0.25"/>
  <cols>
    <col min="1" max="4" width="9.140625" style="29"/>
    <col min="5" max="5" width="12.42578125" style="29" customWidth="1"/>
    <col min="6" max="6" width="0.42578125" style="29" customWidth="1"/>
    <col min="7" max="7" width="9.140625" style="29"/>
    <col min="8" max="9" width="9.140625" style="29" customWidth="1"/>
    <col min="10" max="10" width="8.7109375" style="29" customWidth="1"/>
    <col min="11" max="16384" width="9.140625" style="29"/>
  </cols>
  <sheetData>
    <row r="1" spans="1:10" ht="18.75" x14ac:dyDescent="0.3">
      <c r="A1" s="214" t="s">
        <v>76</v>
      </c>
      <c r="B1" s="214"/>
      <c r="C1" s="214"/>
      <c r="D1" s="214"/>
      <c r="E1" s="214"/>
      <c r="F1" s="214"/>
      <c r="G1" s="214"/>
      <c r="H1" s="214"/>
      <c r="I1" s="1"/>
    </row>
    <row r="2" spans="1:10" ht="18.75" x14ac:dyDescent="0.3">
      <c r="A2" s="153" t="s">
        <v>250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8.25" customHeight="1" x14ac:dyDescent="0.3">
      <c r="A3" s="64"/>
      <c r="B3" s="64"/>
      <c r="C3" s="64"/>
      <c r="D3" s="64"/>
      <c r="E3" s="64"/>
      <c r="F3" s="64"/>
      <c r="G3" s="64"/>
      <c r="H3" s="64"/>
      <c r="I3" s="64"/>
      <c r="J3" s="64"/>
    </row>
    <row r="4" spans="1:10" x14ac:dyDescent="0.25">
      <c r="A4" s="200"/>
      <c r="B4" s="211"/>
      <c r="C4" s="211"/>
      <c r="D4" s="211"/>
      <c r="E4" s="211"/>
      <c r="F4" s="201"/>
      <c r="G4" s="200" t="s">
        <v>12</v>
      </c>
      <c r="H4" s="201"/>
      <c r="I4" s="200" t="s">
        <v>80</v>
      </c>
      <c r="J4" s="201"/>
    </row>
    <row r="5" spans="1:10" x14ac:dyDescent="0.25">
      <c r="A5" s="204" t="s">
        <v>81</v>
      </c>
      <c r="B5" s="205"/>
      <c r="C5" s="205"/>
      <c r="D5" s="205"/>
      <c r="E5" s="205"/>
      <c r="F5" s="206"/>
      <c r="G5" s="200">
        <v>1973</v>
      </c>
      <c r="H5" s="201"/>
      <c r="I5" s="200"/>
      <c r="J5" s="201"/>
    </row>
    <row r="6" spans="1:10" x14ac:dyDescent="0.25">
      <c r="A6" s="204" t="s">
        <v>82</v>
      </c>
      <c r="B6" s="205"/>
      <c r="C6" s="205"/>
      <c r="D6" s="205"/>
      <c r="E6" s="205"/>
      <c r="F6" s="206"/>
      <c r="G6" s="212">
        <v>11412</v>
      </c>
      <c r="H6" s="213"/>
      <c r="I6" s="200"/>
      <c r="J6" s="201"/>
    </row>
    <row r="7" spans="1:10" x14ac:dyDescent="0.25">
      <c r="A7" s="130" t="s">
        <v>83</v>
      </c>
      <c r="B7" s="131"/>
      <c r="C7" s="131"/>
      <c r="D7" s="131"/>
      <c r="E7" s="131"/>
      <c r="F7" s="132"/>
      <c r="G7" s="128"/>
      <c r="H7" s="129"/>
      <c r="I7" s="208">
        <f>I8+I9+I10+I11+I12</f>
        <v>140.4758623125</v>
      </c>
      <c r="J7" s="209"/>
    </row>
    <row r="8" spans="1:10" x14ac:dyDescent="0.25">
      <c r="A8" s="200" t="s">
        <v>84</v>
      </c>
      <c r="B8" s="211"/>
      <c r="C8" s="211"/>
      <c r="D8" s="211"/>
      <c r="E8" s="211"/>
      <c r="F8" s="201"/>
      <c r="G8" s="208" t="s">
        <v>110</v>
      </c>
      <c r="H8" s="209"/>
      <c r="I8" s="208">
        <v>69.41</v>
      </c>
      <c r="J8" s="201"/>
    </row>
    <row r="9" spans="1:10" x14ac:dyDescent="0.25">
      <c r="A9" s="200" t="s">
        <v>136</v>
      </c>
      <c r="B9" s="211"/>
      <c r="C9" s="211"/>
      <c r="D9" s="211"/>
      <c r="E9" s="211"/>
      <c r="F9" s="201"/>
      <c r="G9" s="207">
        <v>0.25</v>
      </c>
      <c r="H9" s="201"/>
      <c r="I9" s="208">
        <f>I8*G9</f>
        <v>17.352499999999999</v>
      </c>
      <c r="J9" s="209"/>
    </row>
    <row r="10" spans="1:10" x14ac:dyDescent="0.25">
      <c r="A10" s="200" t="s">
        <v>137</v>
      </c>
      <c r="B10" s="211"/>
      <c r="C10" s="211"/>
      <c r="D10" s="211"/>
      <c r="E10" s="211"/>
      <c r="F10" s="201"/>
      <c r="G10" s="207">
        <v>0.3</v>
      </c>
      <c r="H10" s="201"/>
      <c r="I10" s="208">
        <f>(I8+I9+I177)*G10</f>
        <v>26.028749999999995</v>
      </c>
      <c r="J10" s="209"/>
    </row>
    <row r="11" spans="1:10" x14ac:dyDescent="0.25">
      <c r="A11" s="200" t="s">
        <v>85</v>
      </c>
      <c r="B11" s="211"/>
      <c r="C11" s="211"/>
      <c r="D11" s="211"/>
      <c r="E11" s="211"/>
      <c r="F11" s="201"/>
      <c r="G11" s="207">
        <v>0.15</v>
      </c>
      <c r="H11" s="201"/>
      <c r="I11" s="208">
        <f>(I8+I9+I10)*G11</f>
        <v>16.918687499999997</v>
      </c>
      <c r="J11" s="209"/>
    </row>
    <row r="12" spans="1:10" x14ac:dyDescent="0.25">
      <c r="A12" s="200" t="s">
        <v>138</v>
      </c>
      <c r="B12" s="211"/>
      <c r="C12" s="211"/>
      <c r="D12" s="211"/>
      <c r="E12" s="211"/>
      <c r="F12" s="201"/>
      <c r="G12" s="207">
        <v>8.3000000000000004E-2</v>
      </c>
      <c r="H12" s="201"/>
      <c r="I12" s="208">
        <f>(I8+I9+I10+I11)*G12</f>
        <v>10.7659248125</v>
      </c>
      <c r="J12" s="209"/>
    </row>
    <row r="13" spans="1:10" x14ac:dyDescent="0.25">
      <c r="A13" s="204" t="s">
        <v>86</v>
      </c>
      <c r="B13" s="205"/>
      <c r="C13" s="205"/>
      <c r="D13" s="205"/>
      <c r="E13" s="205"/>
      <c r="F13" s="206"/>
      <c r="G13" s="210">
        <v>0.36199999999999999</v>
      </c>
      <c r="H13" s="201"/>
      <c r="I13" s="208">
        <f>(I8+I9+I10+I11+I12)*36.2%</f>
        <v>50.852262157125004</v>
      </c>
      <c r="J13" s="209"/>
    </row>
    <row r="14" spans="1:10" x14ac:dyDescent="0.25">
      <c r="A14" s="204" t="s">
        <v>87</v>
      </c>
      <c r="B14" s="205"/>
      <c r="C14" s="205"/>
      <c r="D14" s="205"/>
      <c r="E14" s="205"/>
      <c r="F14" s="206"/>
      <c r="G14" s="207">
        <v>0.2</v>
      </c>
      <c r="H14" s="201"/>
      <c r="I14" s="208">
        <f>(I7+I13)*G14</f>
        <v>38.265624893925001</v>
      </c>
      <c r="J14" s="209"/>
    </row>
    <row r="15" spans="1:10" x14ac:dyDescent="0.25">
      <c r="A15" s="204" t="s">
        <v>88</v>
      </c>
      <c r="B15" s="205"/>
      <c r="C15" s="205"/>
      <c r="D15" s="205"/>
      <c r="E15" s="205"/>
      <c r="F15" s="206"/>
      <c r="G15" s="207">
        <v>0.2</v>
      </c>
      <c r="H15" s="201"/>
      <c r="I15" s="208">
        <f>(I7+I13+I14)*G15</f>
        <v>45.918749872710009</v>
      </c>
      <c r="J15" s="209"/>
    </row>
    <row r="16" spans="1:10" x14ac:dyDescent="0.25">
      <c r="A16" s="204" t="s">
        <v>89</v>
      </c>
      <c r="B16" s="205"/>
      <c r="C16" s="205"/>
      <c r="D16" s="205"/>
      <c r="E16" s="205"/>
      <c r="F16" s="206"/>
      <c r="G16" s="207">
        <v>0.01</v>
      </c>
      <c r="H16" s="201"/>
      <c r="I16" s="208">
        <f>(I7+I13+I14+I15)*G16</f>
        <v>2.7551249923626004</v>
      </c>
      <c r="J16" s="209"/>
    </row>
    <row r="17" spans="1:10" x14ac:dyDescent="0.25">
      <c r="A17" s="197" t="s">
        <v>90</v>
      </c>
      <c r="B17" s="198"/>
      <c r="C17" s="198"/>
      <c r="D17" s="198"/>
      <c r="E17" s="198"/>
      <c r="F17" s="199"/>
      <c r="G17" s="200"/>
      <c r="H17" s="201"/>
      <c r="I17" s="202">
        <f>I7+I13+I14+I15+I16</f>
        <v>278.26762422862265</v>
      </c>
      <c r="J17" s="203"/>
    </row>
    <row r="19" spans="1:10" ht="15.75" x14ac:dyDescent="0.25">
      <c r="A19" s="24"/>
      <c r="B19" s="24"/>
      <c r="C19" s="24"/>
      <c r="D19" s="24"/>
      <c r="E19" s="62"/>
      <c r="I19" s="62"/>
    </row>
    <row r="22" spans="1:10" x14ac:dyDescent="0.25">
      <c r="A22" s="98"/>
      <c r="B22" s="98"/>
      <c r="C22" s="98"/>
      <c r="D22" s="98"/>
      <c r="E22" s="98"/>
      <c r="F22" s="98"/>
      <c r="G22" s="98"/>
      <c r="H22" s="98"/>
      <c r="I22" s="98"/>
      <c r="J22" s="98"/>
    </row>
    <row r="23" spans="1:10" ht="18.75" customHeight="1" x14ac:dyDescent="0.25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ht="18.75" customHeight="1" x14ac:dyDescent="0.25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ht="18.75" customHeight="1" x14ac:dyDescent="0.25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ht="18.75" customHeight="1" x14ac:dyDescent="0.25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ht="18.75" customHeight="1" x14ac:dyDescent="0.25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25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25">
      <c r="A29" s="98"/>
      <c r="B29" s="98"/>
      <c r="C29" s="98"/>
      <c r="D29" s="98"/>
      <c r="E29" s="98"/>
      <c r="F29" s="98"/>
      <c r="G29" s="98"/>
      <c r="H29" s="98"/>
      <c r="I29" s="98"/>
      <c r="J29" s="98"/>
    </row>
    <row r="30" spans="1:10" x14ac:dyDescent="0.25">
      <c r="A30" s="98"/>
      <c r="B30" s="98"/>
      <c r="C30" s="98"/>
      <c r="D30" s="98"/>
      <c r="E30" s="98"/>
      <c r="F30" s="98"/>
      <c r="G30" s="98"/>
      <c r="H30" s="98"/>
      <c r="I30" s="98"/>
      <c r="J30" s="98"/>
    </row>
    <row r="31" spans="1:10" x14ac:dyDescent="0.25">
      <c r="A31" s="98"/>
      <c r="B31" s="98"/>
      <c r="C31" s="98"/>
      <c r="D31" s="98"/>
      <c r="E31" s="98"/>
      <c r="F31" s="98"/>
      <c r="G31" s="98"/>
      <c r="H31" s="98"/>
      <c r="I31" s="98"/>
      <c r="J31" s="98"/>
    </row>
    <row r="32" spans="1:10" x14ac:dyDescent="0.25">
      <c r="A32" s="98"/>
      <c r="B32" s="98"/>
      <c r="C32" s="98"/>
      <c r="D32" s="98"/>
      <c r="E32" s="98"/>
      <c r="F32" s="98"/>
      <c r="G32" s="98"/>
      <c r="H32" s="98"/>
      <c r="I32" s="98"/>
      <c r="J32" s="98"/>
    </row>
    <row r="33" spans="1:10" x14ac:dyDescent="0.25">
      <c r="A33" s="98"/>
      <c r="B33" s="98"/>
      <c r="C33" s="98"/>
      <c r="D33" s="98"/>
      <c r="E33" s="98"/>
      <c r="F33" s="98"/>
      <c r="G33" s="98"/>
      <c r="H33" s="98"/>
      <c r="I33" s="98"/>
      <c r="J33" s="98"/>
    </row>
    <row r="34" spans="1:10" x14ac:dyDescent="0.25">
      <c r="A34" s="98"/>
      <c r="B34" s="98"/>
      <c r="C34" s="98"/>
      <c r="D34" s="98"/>
      <c r="E34" s="98"/>
      <c r="F34" s="98"/>
      <c r="G34" s="98"/>
      <c r="H34" s="98"/>
      <c r="I34" s="98"/>
      <c r="J34" s="98"/>
    </row>
    <row r="35" spans="1:10" x14ac:dyDescent="0.25">
      <c r="A35" s="98"/>
      <c r="B35" s="98"/>
      <c r="C35" s="98"/>
      <c r="D35" s="98"/>
      <c r="E35" s="98"/>
      <c r="F35" s="98"/>
      <c r="G35" s="98"/>
      <c r="H35" s="98"/>
      <c r="I35" s="98"/>
      <c r="J35" s="98"/>
    </row>
    <row r="36" spans="1:10" x14ac:dyDescent="0.25">
      <c r="A36" s="98"/>
      <c r="B36" s="98"/>
      <c r="C36" s="98"/>
      <c r="D36" s="98"/>
      <c r="E36" s="98"/>
      <c r="F36" s="98"/>
      <c r="G36" s="98"/>
      <c r="H36" s="98"/>
      <c r="I36" s="98"/>
      <c r="J36" s="98"/>
    </row>
    <row r="37" spans="1:10" x14ac:dyDescent="0.25">
      <c r="A37" s="98"/>
      <c r="B37" s="98"/>
      <c r="C37" s="98"/>
      <c r="D37" s="98"/>
      <c r="E37" s="98"/>
      <c r="F37" s="98"/>
      <c r="G37" s="98"/>
      <c r="H37" s="98"/>
      <c r="I37" s="98"/>
      <c r="J37" s="98"/>
    </row>
    <row r="38" spans="1:10" x14ac:dyDescent="0.25">
      <c r="A38" s="98"/>
      <c r="B38" s="98"/>
      <c r="C38" s="98"/>
      <c r="D38" s="98"/>
      <c r="E38" s="98"/>
      <c r="F38" s="98"/>
      <c r="G38" s="98"/>
      <c r="H38" s="98"/>
      <c r="I38" s="98"/>
      <c r="J38" s="98"/>
    </row>
    <row r="39" spans="1:10" x14ac:dyDescent="0.25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x14ac:dyDescent="0.25">
      <c r="A40" s="98"/>
      <c r="B40" s="98"/>
      <c r="C40" s="98"/>
      <c r="D40" s="98"/>
      <c r="E40" s="98"/>
      <c r="F40" s="98"/>
      <c r="G40" s="98"/>
      <c r="H40" s="98"/>
      <c r="I40" s="98"/>
      <c r="J40" s="98"/>
    </row>
    <row r="41" spans="1:10" x14ac:dyDescent="0.25">
      <c r="A41" s="98"/>
      <c r="B41" s="98"/>
      <c r="C41" s="98"/>
      <c r="D41" s="98"/>
      <c r="E41" s="98"/>
      <c r="F41" s="98"/>
      <c r="G41" s="98"/>
      <c r="H41" s="98"/>
      <c r="I41" s="98"/>
      <c r="J41" s="98"/>
    </row>
    <row r="42" spans="1:10" x14ac:dyDescent="0.25">
      <c r="A42" s="98"/>
      <c r="B42" s="98"/>
      <c r="C42" s="98"/>
      <c r="D42" s="98"/>
      <c r="E42" s="98"/>
      <c r="F42" s="98"/>
      <c r="G42" s="98"/>
      <c r="H42" s="98"/>
      <c r="I42" s="98"/>
      <c r="J42" s="98"/>
    </row>
    <row r="43" spans="1:10" x14ac:dyDescent="0.25">
      <c r="A43" s="98"/>
      <c r="B43" s="98"/>
      <c r="C43" s="98"/>
      <c r="D43" s="98"/>
      <c r="E43" s="98"/>
      <c r="F43" s="98"/>
      <c r="G43" s="98"/>
      <c r="H43" s="98"/>
      <c r="I43" s="98"/>
      <c r="J43" s="98"/>
    </row>
  </sheetData>
  <mergeCells count="42">
    <mergeCell ref="A1:H1"/>
    <mergeCell ref="A4:F4"/>
    <mergeCell ref="G4:H4"/>
    <mergeCell ref="I4:J4"/>
    <mergeCell ref="A2:J2"/>
    <mergeCell ref="A5:F5"/>
    <mergeCell ref="G5:H5"/>
    <mergeCell ref="I5:J5"/>
    <mergeCell ref="A6:F6"/>
    <mergeCell ref="G6:H6"/>
    <mergeCell ref="I6:J6"/>
    <mergeCell ref="I7:J7"/>
    <mergeCell ref="A8:F8"/>
    <mergeCell ref="G8:H8"/>
    <mergeCell ref="I8:J8"/>
    <mergeCell ref="A9:F9"/>
    <mergeCell ref="G9:H9"/>
    <mergeCell ref="I9:J9"/>
    <mergeCell ref="A10:F10"/>
    <mergeCell ref="G10:H10"/>
    <mergeCell ref="I10:J10"/>
    <mergeCell ref="A11:F11"/>
    <mergeCell ref="G11:H11"/>
    <mergeCell ref="I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10" zoomScale="90" zoomScaleNormal="90" workbookViewId="0">
      <selection activeCell="E32" sqref="E32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8" max="8" width="10.42578125" bestFit="1" customWidth="1"/>
  </cols>
  <sheetData>
    <row r="1" spans="1:6" ht="15.75" x14ac:dyDescent="0.25">
      <c r="A1" s="1" t="s">
        <v>15</v>
      </c>
      <c r="B1" s="11"/>
      <c r="C1" s="11"/>
      <c r="D1" s="12" t="s">
        <v>16</v>
      </c>
      <c r="E1" s="12"/>
      <c r="F1" s="13"/>
    </row>
    <row r="2" spans="1:6" ht="31.5" customHeight="1" x14ac:dyDescent="0.25">
      <c r="A2" s="152" t="s">
        <v>173</v>
      </c>
      <c r="B2" s="152"/>
      <c r="C2" s="152"/>
      <c r="D2" s="99" t="s">
        <v>160</v>
      </c>
      <c r="E2" s="152" t="s">
        <v>161</v>
      </c>
      <c r="F2" s="152"/>
    </row>
    <row r="3" spans="1:6" ht="15.75" x14ac:dyDescent="0.25">
      <c r="A3" s="152"/>
      <c r="B3" s="152"/>
      <c r="C3" s="152"/>
      <c r="D3" s="28"/>
      <c r="E3" s="152"/>
      <c r="F3" s="152"/>
    </row>
    <row r="4" spans="1:6" ht="29.25" customHeight="1" x14ac:dyDescent="0.25">
      <c r="A4" s="1" t="s">
        <v>65</v>
      </c>
      <c r="B4" s="11"/>
      <c r="C4" s="11"/>
      <c r="D4" s="12"/>
      <c r="E4" s="12" t="s">
        <v>58</v>
      </c>
      <c r="F4" s="13"/>
    </row>
    <row r="5" spans="1:6" ht="15.75" x14ac:dyDescent="0.25">
      <c r="A5" s="1" t="s">
        <v>150</v>
      </c>
      <c r="B5" s="11"/>
      <c r="C5" s="11"/>
      <c r="D5" s="12" t="s">
        <v>181</v>
      </c>
      <c r="E5" s="12" t="s">
        <v>187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53" t="s">
        <v>44</v>
      </c>
      <c r="B7" s="153"/>
      <c r="C7" s="153"/>
      <c r="D7" s="153"/>
      <c r="E7" s="153"/>
      <c r="F7" s="153"/>
    </row>
    <row r="8" spans="1:6" ht="18.75" x14ac:dyDescent="0.3">
      <c r="A8" s="153" t="s">
        <v>121</v>
      </c>
      <c r="B8" s="153"/>
      <c r="C8" s="153"/>
      <c r="D8" s="153"/>
      <c r="E8" s="153"/>
      <c r="F8" s="153"/>
    </row>
    <row r="9" spans="1:6" ht="18.75" x14ac:dyDescent="0.3">
      <c r="A9" s="153" t="s">
        <v>255</v>
      </c>
      <c r="B9" s="153"/>
      <c r="C9" s="153"/>
      <c r="D9" s="153"/>
      <c r="E9" s="153"/>
      <c r="F9" s="153"/>
    </row>
    <row r="10" spans="1:6" ht="18.75" x14ac:dyDescent="0.3">
      <c r="A10" s="2"/>
    </row>
    <row r="11" spans="1:6" ht="31.5" x14ac:dyDescent="0.25">
      <c r="A11" s="154"/>
      <c r="B11" s="155"/>
      <c r="C11" s="155"/>
      <c r="D11" s="156"/>
      <c r="E11" s="16" t="s">
        <v>12</v>
      </c>
      <c r="F11" s="17" t="s">
        <v>13</v>
      </c>
    </row>
    <row r="12" spans="1:6" ht="15.75" x14ac:dyDescent="0.25">
      <c r="A12" s="6" t="s">
        <v>66</v>
      </c>
      <c r="B12" s="5"/>
      <c r="C12" s="5"/>
      <c r="D12" s="5"/>
      <c r="E12" s="16">
        <v>1418375.59</v>
      </c>
      <c r="F12" s="18"/>
    </row>
    <row r="13" spans="1:6" ht="15.75" x14ac:dyDescent="0.25">
      <c r="A13" s="10" t="s">
        <v>39</v>
      </c>
      <c r="B13" s="23"/>
      <c r="C13" s="23"/>
      <c r="D13" s="22"/>
      <c r="E13" s="110">
        <v>0.1</v>
      </c>
      <c r="F13" s="18">
        <v>10</v>
      </c>
    </row>
    <row r="14" spans="1:6" ht="15.75" x14ac:dyDescent="0.25">
      <c r="A14" s="6" t="s">
        <v>5</v>
      </c>
      <c r="B14" s="5"/>
      <c r="C14" s="7"/>
      <c r="D14" s="8"/>
      <c r="E14" s="15" t="s">
        <v>30</v>
      </c>
      <c r="F14" s="18">
        <v>1232</v>
      </c>
    </row>
    <row r="15" spans="1:6" ht="15.75" x14ac:dyDescent="0.25">
      <c r="A15" s="158" t="s">
        <v>17</v>
      </c>
      <c r="B15" s="159"/>
      <c r="C15" s="159"/>
      <c r="D15" s="160"/>
      <c r="E15" s="14" t="s">
        <v>21</v>
      </c>
      <c r="F15" s="18">
        <v>900</v>
      </c>
    </row>
    <row r="16" spans="1:6" ht="15.75" x14ac:dyDescent="0.25">
      <c r="A16" s="6" t="s">
        <v>35</v>
      </c>
      <c r="B16" s="5"/>
      <c r="C16" s="5"/>
      <c r="D16" s="5"/>
      <c r="E16" s="15"/>
      <c r="F16" s="114">
        <f>E12*F13%</f>
        <v>141837.55900000001</v>
      </c>
    </row>
    <row r="17" spans="1:6" ht="15.75" x14ac:dyDescent="0.25">
      <c r="A17" s="161" t="s">
        <v>115</v>
      </c>
      <c r="B17" s="162"/>
      <c r="C17" s="162"/>
      <c r="D17" s="163"/>
      <c r="E17" s="15" t="s">
        <v>36</v>
      </c>
      <c r="F17" s="114"/>
    </row>
    <row r="18" spans="1:6" ht="15.75" x14ac:dyDescent="0.25">
      <c r="A18" s="6" t="s">
        <v>34</v>
      </c>
      <c r="B18" s="5"/>
      <c r="C18" s="5"/>
      <c r="D18" s="5"/>
      <c r="E18" s="111">
        <f>SUM(E19:E24)</f>
        <v>158.27552234999999</v>
      </c>
      <c r="F18" s="114">
        <f>E18*F14</f>
        <v>194995.4435352</v>
      </c>
    </row>
    <row r="19" spans="1:6" ht="15.75" x14ac:dyDescent="0.25">
      <c r="A19" s="6" t="s">
        <v>22</v>
      </c>
      <c r="B19" s="5"/>
      <c r="C19" s="5"/>
      <c r="D19" s="5"/>
      <c r="E19" s="15">
        <v>77.02</v>
      </c>
      <c r="F19" s="115"/>
    </row>
    <row r="20" spans="1:6" ht="15.75" x14ac:dyDescent="0.25">
      <c r="A20" s="6" t="s">
        <v>18</v>
      </c>
      <c r="B20" s="5"/>
      <c r="C20" s="5"/>
      <c r="D20" s="5"/>
      <c r="E20" s="111">
        <f>E19*20%</f>
        <v>15.404</v>
      </c>
      <c r="F20" s="115"/>
    </row>
    <row r="21" spans="1:6" ht="15.75" x14ac:dyDescent="0.25">
      <c r="A21" s="6" t="s">
        <v>42</v>
      </c>
      <c r="B21" s="5"/>
      <c r="C21" s="5"/>
      <c r="D21" s="5"/>
      <c r="E21" s="111">
        <f>E19*15%</f>
        <v>11.552999999999999</v>
      </c>
      <c r="F21" s="115"/>
    </row>
    <row r="22" spans="1:6" ht="15.75" x14ac:dyDescent="0.25">
      <c r="A22" s="6" t="s">
        <v>19</v>
      </c>
      <c r="B22" s="5"/>
      <c r="C22" s="5"/>
      <c r="D22" s="5"/>
      <c r="E22" s="111">
        <f>E19*30%</f>
        <v>23.105999999999998</v>
      </c>
      <c r="F22" s="115"/>
    </row>
    <row r="23" spans="1:6" ht="15.75" x14ac:dyDescent="0.25">
      <c r="A23" s="6" t="s">
        <v>9</v>
      </c>
      <c r="B23" s="5"/>
      <c r="C23" s="5"/>
      <c r="D23" s="5"/>
      <c r="E23" s="111">
        <f>(E19+E20+E21+E22)*15%</f>
        <v>19.062449999999998</v>
      </c>
      <c r="F23" s="115"/>
    </row>
    <row r="24" spans="1:6" ht="15.75" x14ac:dyDescent="0.25">
      <c r="A24" s="6" t="s">
        <v>41</v>
      </c>
      <c r="B24" s="5"/>
      <c r="C24" s="5"/>
      <c r="D24" s="5"/>
      <c r="E24" s="111">
        <f>(E19+E20+E21+E22+E23)*8.3%</f>
        <v>12.130072349999999</v>
      </c>
      <c r="F24" s="115"/>
    </row>
    <row r="25" spans="1:6" ht="15.75" x14ac:dyDescent="0.25">
      <c r="A25" s="6" t="s">
        <v>28</v>
      </c>
      <c r="B25" s="5"/>
      <c r="C25" s="5"/>
      <c r="D25" s="5"/>
      <c r="E25" s="112">
        <v>0.30199999999999999</v>
      </c>
      <c r="F25" s="114">
        <f>F18*E25</f>
        <v>58888.623947630396</v>
      </c>
    </row>
    <row r="26" spans="1:6" ht="15.75" x14ac:dyDescent="0.25">
      <c r="A26" s="6" t="s">
        <v>23</v>
      </c>
      <c r="B26" s="5"/>
      <c r="C26" s="5"/>
      <c r="D26" s="5"/>
      <c r="E26" s="15"/>
      <c r="F26" s="114">
        <f>F28+F30</f>
        <v>422968.39199999999</v>
      </c>
    </row>
    <row r="27" spans="1:6" ht="15.75" x14ac:dyDescent="0.25">
      <c r="A27" s="6" t="s">
        <v>59</v>
      </c>
      <c r="B27" s="5"/>
      <c r="C27" s="5"/>
      <c r="D27" s="5"/>
      <c r="E27" s="113">
        <v>4.41</v>
      </c>
      <c r="F27" s="115">
        <f>E27*F14</f>
        <v>5433.12</v>
      </c>
    </row>
    <row r="28" spans="1:6" ht="16.5" customHeight="1" x14ac:dyDescent="0.25">
      <c r="A28" s="6" t="s">
        <v>237</v>
      </c>
      <c r="B28" s="5"/>
      <c r="C28" s="5"/>
      <c r="D28" s="5"/>
      <c r="E28" s="111">
        <v>60</v>
      </c>
      <c r="F28" s="115">
        <f>E28*F27</f>
        <v>325987.20000000001</v>
      </c>
    </row>
    <row r="29" spans="1:6" ht="15.75" x14ac:dyDescent="0.25">
      <c r="A29" s="6" t="s">
        <v>29</v>
      </c>
      <c r="B29" s="5"/>
      <c r="C29" s="5"/>
      <c r="D29" s="5"/>
      <c r="E29" s="112">
        <v>5.0999999999999997E-2</v>
      </c>
      <c r="F29" s="115">
        <f>E29*F27</f>
        <v>277.08911999999998</v>
      </c>
    </row>
    <row r="30" spans="1:6" ht="15.75" x14ac:dyDescent="0.25">
      <c r="A30" s="6" t="s">
        <v>238</v>
      </c>
      <c r="B30" s="5"/>
      <c r="C30" s="5"/>
      <c r="D30" s="5"/>
      <c r="E30" s="15">
        <v>350</v>
      </c>
      <c r="F30" s="115">
        <f>E30*F29</f>
        <v>96981.191999999995</v>
      </c>
    </row>
    <row r="31" spans="1:6" ht="15.75" x14ac:dyDescent="0.25">
      <c r="A31" s="6" t="s">
        <v>157</v>
      </c>
      <c r="B31" s="5"/>
      <c r="C31" s="5"/>
      <c r="D31" s="5"/>
      <c r="E31" s="110">
        <v>0.35</v>
      </c>
      <c r="F31" s="114">
        <f>E31*E12</f>
        <v>496431.45649999997</v>
      </c>
    </row>
    <row r="32" spans="1:6" ht="15.75" x14ac:dyDescent="0.25">
      <c r="A32" s="6" t="s">
        <v>239</v>
      </c>
      <c r="B32" s="5"/>
      <c r="C32" s="5"/>
      <c r="D32" s="5"/>
      <c r="E32" s="15"/>
      <c r="F32" s="114">
        <v>1950</v>
      </c>
    </row>
    <row r="33" spans="1:8" ht="15.75" x14ac:dyDescent="0.25">
      <c r="A33" s="158" t="s">
        <v>240</v>
      </c>
      <c r="B33" s="159"/>
      <c r="C33" s="159"/>
      <c r="D33" s="160"/>
      <c r="E33" s="110">
        <v>0.2</v>
      </c>
      <c r="F33" s="114">
        <f>ROUND((F16+F18+F25+F26+F31)*E33,2)</f>
        <v>263024.28999999998</v>
      </c>
      <c r="H33" s="90"/>
    </row>
    <row r="34" spans="1:8" ht="15.75" x14ac:dyDescent="0.25">
      <c r="A34" s="6" t="s">
        <v>241</v>
      </c>
      <c r="B34" s="5"/>
      <c r="C34" s="5"/>
      <c r="D34" s="5"/>
      <c r="E34" s="15"/>
      <c r="F34" s="116">
        <f>F33+F32+F31+F26+F25+F18+F16</f>
        <v>1580095.7649828303</v>
      </c>
    </row>
    <row r="35" spans="1:8" ht="15.75" x14ac:dyDescent="0.25">
      <c r="A35" s="6" t="s">
        <v>242</v>
      </c>
      <c r="B35" s="5"/>
      <c r="C35" s="5"/>
      <c r="D35" s="5"/>
      <c r="E35" s="110">
        <v>0.2</v>
      </c>
      <c r="F35" s="116">
        <f>F34*E35</f>
        <v>316019.15299656609</v>
      </c>
    </row>
    <row r="36" spans="1:8" ht="15.75" x14ac:dyDescent="0.25">
      <c r="A36" s="6" t="s">
        <v>1</v>
      </c>
      <c r="B36" s="5"/>
      <c r="C36" s="5"/>
      <c r="D36" s="5"/>
      <c r="E36" s="15"/>
      <c r="F36" s="116">
        <f>F34+F35</f>
        <v>1896114.9179793964</v>
      </c>
    </row>
    <row r="37" spans="1:8" ht="15.75" x14ac:dyDescent="0.25">
      <c r="A37" s="6" t="s">
        <v>243</v>
      </c>
      <c r="B37" s="5"/>
      <c r="C37" s="9"/>
      <c r="D37" s="5"/>
      <c r="E37" s="110">
        <v>0.15</v>
      </c>
      <c r="F37" s="116">
        <f>F36*E37</f>
        <v>284417.23769690946</v>
      </c>
    </row>
    <row r="38" spans="1:8" ht="15.75" x14ac:dyDescent="0.25">
      <c r="A38" s="158" t="s">
        <v>244</v>
      </c>
      <c r="B38" s="159"/>
      <c r="C38" s="159"/>
      <c r="D38" s="160"/>
      <c r="E38" s="110">
        <v>8.9999999999999993E-3</v>
      </c>
      <c r="F38" s="116">
        <f>(F36+F37)*E38</f>
        <v>19624.789401086749</v>
      </c>
    </row>
    <row r="39" spans="1:8" ht="15.75" x14ac:dyDescent="0.25">
      <c r="A39" s="6" t="s">
        <v>245</v>
      </c>
      <c r="B39" s="5"/>
      <c r="C39" s="5"/>
      <c r="D39" s="5"/>
      <c r="E39" s="15"/>
      <c r="F39" s="116">
        <f>F36+F37+F38</f>
        <v>2200156.9450773927</v>
      </c>
    </row>
    <row r="40" spans="1:8" ht="15.75" x14ac:dyDescent="0.25">
      <c r="A40" s="4" t="s">
        <v>246</v>
      </c>
      <c r="B40" s="5"/>
      <c r="C40" s="5"/>
      <c r="D40" s="5"/>
      <c r="E40" s="15"/>
      <c r="F40" s="116">
        <f>ROUND(F39/F14,0)</f>
        <v>1786</v>
      </c>
    </row>
    <row r="41" spans="1:8" ht="15.75" x14ac:dyDescent="0.25">
      <c r="A41" s="157"/>
      <c r="B41" s="157"/>
      <c r="C41" s="157"/>
      <c r="D41" s="157"/>
      <c r="E41" s="157"/>
      <c r="F41" s="157"/>
    </row>
    <row r="42" spans="1:8" ht="15.75" x14ac:dyDescent="0.25">
      <c r="A42" s="24" t="s">
        <v>153</v>
      </c>
      <c r="B42" s="24"/>
      <c r="C42" s="24"/>
      <c r="D42" s="24"/>
      <c r="E42" s="62"/>
      <c r="F42" s="62" t="s">
        <v>154</v>
      </c>
    </row>
    <row r="43" spans="1:8" ht="15.75" x14ac:dyDescent="0.25">
      <c r="A43" s="24"/>
      <c r="B43" s="25"/>
      <c r="C43" s="25"/>
      <c r="D43" s="70"/>
      <c r="E43" s="70"/>
      <c r="F43" s="70"/>
    </row>
  </sheetData>
  <mergeCells count="11">
    <mergeCell ref="A2:C3"/>
    <mergeCell ref="E2:F3"/>
    <mergeCell ref="A41:F41"/>
    <mergeCell ref="A7:F7"/>
    <mergeCell ref="A11:D11"/>
    <mergeCell ref="A15:D15"/>
    <mergeCell ref="A33:D33"/>
    <mergeCell ref="A38:D38"/>
    <mergeCell ref="A8:F8"/>
    <mergeCell ref="A17:D17"/>
    <mergeCell ref="A9:F9"/>
  </mergeCells>
  <pageMargins left="0.56999999999999995" right="0.21" top="0.4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3"/>
  <sheetViews>
    <sheetView zoomScale="90" zoomScaleNormal="90" workbookViewId="0">
      <selection activeCell="F32" sqref="F32"/>
    </sheetView>
  </sheetViews>
  <sheetFormatPr defaultRowHeight="15" x14ac:dyDescent="0.25"/>
  <cols>
    <col min="1" max="1" width="3.7109375" style="29" customWidth="1"/>
    <col min="2" max="3" width="9.140625" style="29"/>
    <col min="4" max="4" width="12.28515625" style="29" customWidth="1"/>
    <col min="5" max="5" width="35.7109375" style="29" customWidth="1"/>
    <col min="6" max="6" width="11.42578125" style="29" customWidth="1"/>
    <col min="7" max="7" width="13.140625" style="29" customWidth="1"/>
    <col min="8" max="8" width="11.28515625" style="29" customWidth="1"/>
    <col min="9" max="9" width="12.5703125" style="29" customWidth="1"/>
    <col min="10" max="11" width="9.140625" style="29"/>
    <col min="12" max="12" width="10.42578125" style="29" bestFit="1" customWidth="1"/>
    <col min="13" max="16384" width="9.140625" style="29"/>
  </cols>
  <sheetData>
    <row r="2" spans="2:7" x14ac:dyDescent="0.25">
      <c r="B2" s="29" t="s">
        <v>15</v>
      </c>
      <c r="E2" s="30" t="s">
        <v>16</v>
      </c>
      <c r="F2" s="30"/>
      <c r="G2" s="30"/>
    </row>
    <row r="3" spans="2:7" ht="15.75" x14ac:dyDescent="0.25">
      <c r="B3" s="152" t="s">
        <v>173</v>
      </c>
      <c r="C3" s="152"/>
      <c r="D3" s="152"/>
      <c r="E3" s="99" t="s">
        <v>160</v>
      </c>
      <c r="F3" s="152" t="s">
        <v>161</v>
      </c>
      <c r="G3" s="152"/>
    </row>
    <row r="4" spans="2:7" ht="31.5" customHeight="1" x14ac:dyDescent="0.25">
      <c r="B4" s="152"/>
      <c r="C4" s="152"/>
      <c r="D4" s="152"/>
      <c r="E4" s="28"/>
      <c r="F4" s="152"/>
      <c r="G4" s="152"/>
    </row>
    <row r="5" spans="2:7" ht="27" customHeight="1" x14ac:dyDescent="0.25">
      <c r="B5" s="29" t="s">
        <v>67</v>
      </c>
      <c r="E5" s="30" t="s">
        <v>180</v>
      </c>
      <c r="F5" s="30" t="s">
        <v>139</v>
      </c>
      <c r="G5" s="30"/>
    </row>
    <row r="6" spans="2:7" x14ac:dyDescent="0.25">
      <c r="B6" s="29" t="s">
        <v>150</v>
      </c>
      <c r="E6" s="30" t="s">
        <v>181</v>
      </c>
      <c r="F6" s="30" t="s">
        <v>182</v>
      </c>
      <c r="G6" s="30"/>
    </row>
    <row r="7" spans="2:7" ht="15.75" x14ac:dyDescent="0.25">
      <c r="B7" s="1"/>
      <c r="C7" s="1"/>
      <c r="D7" s="1"/>
      <c r="E7" s="12"/>
      <c r="F7" s="12"/>
      <c r="G7" s="12"/>
    </row>
    <row r="8" spans="2:7" ht="18.75" x14ac:dyDescent="0.3">
      <c r="B8" s="49"/>
      <c r="C8" s="49"/>
      <c r="D8" s="49"/>
      <c r="E8" s="32" t="s">
        <v>44</v>
      </c>
      <c r="F8" s="49"/>
      <c r="G8" s="49"/>
    </row>
    <row r="9" spans="2:7" ht="18.75" x14ac:dyDescent="0.3">
      <c r="B9" s="49"/>
      <c r="C9" s="49" t="s">
        <v>104</v>
      </c>
      <c r="D9" s="49"/>
      <c r="E9" s="49"/>
      <c r="F9" s="49"/>
      <c r="G9" s="49"/>
    </row>
    <row r="10" spans="2:7" ht="18.75" x14ac:dyDescent="0.3">
      <c r="B10" s="165" t="s">
        <v>56</v>
      </c>
      <c r="C10" s="165"/>
      <c r="D10" s="165"/>
      <c r="E10" s="165"/>
      <c r="F10" s="165"/>
      <c r="G10" s="165"/>
    </row>
    <row r="12" spans="2:7" ht="31.5" x14ac:dyDescent="0.25">
      <c r="B12" s="154"/>
      <c r="C12" s="155"/>
      <c r="D12" s="155"/>
      <c r="E12" s="156"/>
      <c r="F12" s="39" t="s">
        <v>12</v>
      </c>
      <c r="G12" s="4" t="s">
        <v>13</v>
      </c>
    </row>
    <row r="13" spans="2:7" ht="15.75" x14ac:dyDescent="0.25">
      <c r="B13" s="6" t="s">
        <v>57</v>
      </c>
      <c r="C13" s="6"/>
      <c r="D13" s="6"/>
      <c r="E13" s="6"/>
      <c r="F13" s="39">
        <v>920000</v>
      </c>
      <c r="G13" s="107"/>
    </row>
    <row r="14" spans="2:7" ht="15.75" x14ac:dyDescent="0.25">
      <c r="B14" s="51" t="s">
        <v>37</v>
      </c>
      <c r="C14" s="52"/>
      <c r="D14" s="52"/>
      <c r="E14" s="22"/>
      <c r="F14" s="117">
        <v>0.125</v>
      </c>
      <c r="G14" s="107">
        <v>12.5</v>
      </c>
    </row>
    <row r="15" spans="2:7" ht="15.75" x14ac:dyDescent="0.25">
      <c r="B15" s="6" t="s">
        <v>5</v>
      </c>
      <c r="C15" s="6"/>
      <c r="D15" s="51"/>
      <c r="E15" s="52"/>
      <c r="F15" s="14" t="s">
        <v>30</v>
      </c>
      <c r="G15" s="107">
        <v>1000</v>
      </c>
    </row>
    <row r="16" spans="2:7" ht="15.75" x14ac:dyDescent="0.25">
      <c r="B16" s="158" t="s">
        <v>17</v>
      </c>
      <c r="C16" s="159"/>
      <c r="D16" s="159"/>
      <c r="E16" s="160"/>
      <c r="F16" s="14" t="s">
        <v>21</v>
      </c>
      <c r="G16" s="107">
        <f>G15*1.1</f>
        <v>1100</v>
      </c>
    </row>
    <row r="17" spans="2:7" ht="15.75" x14ac:dyDescent="0.25">
      <c r="B17" s="6" t="s">
        <v>35</v>
      </c>
      <c r="C17" s="6"/>
      <c r="D17" s="6"/>
      <c r="E17" s="6"/>
      <c r="F17" s="14"/>
      <c r="G17" s="108">
        <f>F13*G14%</f>
        <v>115000</v>
      </c>
    </row>
    <row r="18" spans="2:7" ht="15.75" x14ac:dyDescent="0.25">
      <c r="B18" s="6" t="s">
        <v>122</v>
      </c>
      <c r="C18" s="6"/>
      <c r="D18" s="6"/>
      <c r="E18" s="6"/>
      <c r="F18" s="41">
        <f>SUM(F19:F24)</f>
        <v>142.63702942500001</v>
      </c>
      <c r="G18" s="108">
        <f>F18*G15</f>
        <v>142637.02942500002</v>
      </c>
    </row>
    <row r="19" spans="2:7" ht="15.75" x14ac:dyDescent="0.25">
      <c r="B19" s="6" t="s">
        <v>22</v>
      </c>
      <c r="C19" s="6"/>
      <c r="D19" s="6"/>
      <c r="E19" s="6"/>
      <c r="F19" s="14">
        <v>69.41</v>
      </c>
      <c r="G19" s="107"/>
    </row>
    <row r="20" spans="2:7" ht="15.75" x14ac:dyDescent="0.25">
      <c r="B20" s="6" t="s">
        <v>18</v>
      </c>
      <c r="C20" s="6"/>
      <c r="D20" s="6"/>
      <c r="E20" s="6"/>
      <c r="F20" s="41">
        <f>F19*20%</f>
        <v>13.882</v>
      </c>
      <c r="G20" s="107"/>
    </row>
    <row r="21" spans="2:7" ht="15.75" x14ac:dyDescent="0.25">
      <c r="B21" s="6" t="s">
        <v>42</v>
      </c>
      <c r="C21" s="6"/>
      <c r="D21" s="6"/>
      <c r="E21" s="6"/>
      <c r="F21" s="41">
        <f>F19*15%</f>
        <v>10.411499999999998</v>
      </c>
      <c r="G21" s="107"/>
    </row>
    <row r="22" spans="2:7" ht="15.75" x14ac:dyDescent="0.25">
      <c r="B22" s="6" t="s">
        <v>19</v>
      </c>
      <c r="C22" s="6"/>
      <c r="D22" s="6"/>
      <c r="E22" s="6"/>
      <c r="F22" s="41">
        <f>F19*30%</f>
        <v>20.822999999999997</v>
      </c>
      <c r="G22" s="107"/>
    </row>
    <row r="23" spans="2:7" ht="15.75" x14ac:dyDescent="0.25">
      <c r="B23" s="6" t="s">
        <v>9</v>
      </c>
      <c r="C23" s="6"/>
      <c r="D23" s="6"/>
      <c r="E23" s="6"/>
      <c r="F23" s="41">
        <f>(F19+F20+F21+F22)*15%</f>
        <v>17.178974999999998</v>
      </c>
      <c r="G23" s="107"/>
    </row>
    <row r="24" spans="2:7" ht="15.75" x14ac:dyDescent="0.25">
      <c r="B24" s="6" t="s">
        <v>41</v>
      </c>
      <c r="C24" s="6"/>
      <c r="D24" s="6"/>
      <c r="E24" s="6"/>
      <c r="F24" s="41">
        <f>(F19+F20+F21+F22+F23)*8.3%</f>
        <v>10.931554425000002</v>
      </c>
      <c r="G24" s="107"/>
    </row>
    <row r="25" spans="2:7" ht="15.75" x14ac:dyDescent="0.25">
      <c r="B25" s="6" t="s">
        <v>32</v>
      </c>
      <c r="C25" s="6"/>
      <c r="D25" s="6"/>
      <c r="E25" s="6"/>
      <c r="F25" s="43">
        <v>0.30199999999999999</v>
      </c>
      <c r="G25" s="108">
        <f>G18*F25</f>
        <v>43076.382886350002</v>
      </c>
    </row>
    <row r="26" spans="2:7" ht="15.75" x14ac:dyDescent="0.25">
      <c r="B26" s="6" t="s">
        <v>23</v>
      </c>
      <c r="C26" s="6"/>
      <c r="D26" s="6"/>
      <c r="E26" s="6"/>
      <c r="F26" s="14"/>
      <c r="G26" s="108">
        <f>G28+G30</f>
        <v>534600</v>
      </c>
    </row>
    <row r="27" spans="2:7" ht="21.75" customHeight="1" x14ac:dyDescent="0.25">
      <c r="B27" s="6" t="s">
        <v>70</v>
      </c>
      <c r="C27" s="14"/>
      <c r="D27" s="6"/>
      <c r="E27" s="6"/>
      <c r="F27" s="41">
        <v>6.6</v>
      </c>
      <c r="G27" s="107">
        <f>F27*G15</f>
        <v>6600</v>
      </c>
    </row>
    <row r="28" spans="2:7" ht="15.75" x14ac:dyDescent="0.25">
      <c r="B28" s="6" t="s">
        <v>235</v>
      </c>
      <c r="C28" s="6"/>
      <c r="D28" s="6"/>
      <c r="E28" s="6"/>
      <c r="F28" s="41">
        <v>60</v>
      </c>
      <c r="G28" s="107">
        <f>F28*G27</f>
        <v>396000</v>
      </c>
    </row>
    <row r="29" spans="2:7" ht="15.75" x14ac:dyDescent="0.25">
      <c r="B29" s="6" t="s">
        <v>123</v>
      </c>
      <c r="C29" s="6"/>
      <c r="D29" s="6"/>
      <c r="E29" s="6"/>
      <c r="F29" s="43">
        <v>0.06</v>
      </c>
      <c r="G29" s="107">
        <f>F29*G27</f>
        <v>396</v>
      </c>
    </row>
    <row r="30" spans="2:7" ht="15.75" x14ac:dyDescent="0.25">
      <c r="B30" s="6" t="s">
        <v>236</v>
      </c>
      <c r="C30" s="6"/>
      <c r="D30" s="6"/>
      <c r="E30" s="6"/>
      <c r="F30" s="14">
        <v>350</v>
      </c>
      <c r="G30" s="107">
        <f>F30*G29</f>
        <v>138600</v>
      </c>
    </row>
    <row r="31" spans="2:7" ht="15.75" x14ac:dyDescent="0.25">
      <c r="B31" s="6" t="s">
        <v>69</v>
      </c>
      <c r="C31" s="6"/>
      <c r="D31" s="6"/>
      <c r="E31" s="6"/>
      <c r="F31" s="46">
        <v>0.3</v>
      </c>
      <c r="G31" s="108">
        <f>F31*F13</f>
        <v>276000</v>
      </c>
    </row>
    <row r="32" spans="2:7" ht="15.75" x14ac:dyDescent="0.25">
      <c r="B32" s="6" t="s">
        <v>2</v>
      </c>
      <c r="C32" s="6"/>
      <c r="D32" s="6"/>
      <c r="E32" s="6"/>
      <c r="F32" s="14"/>
      <c r="G32" s="108">
        <v>2250</v>
      </c>
    </row>
    <row r="33" spans="2:12" ht="15.75" x14ac:dyDescent="0.25">
      <c r="B33" s="158" t="s">
        <v>120</v>
      </c>
      <c r="C33" s="159"/>
      <c r="D33" s="159"/>
      <c r="E33" s="160"/>
      <c r="F33" s="46">
        <v>0.2</v>
      </c>
      <c r="G33" s="108">
        <f>ROUND((G17+G18+G25+G26+G31)*F33,2)</f>
        <v>222262.68</v>
      </c>
      <c r="I33" s="83"/>
      <c r="L33" s="83"/>
    </row>
    <row r="34" spans="2:12" ht="15.75" x14ac:dyDescent="0.25">
      <c r="B34" s="6" t="s">
        <v>20</v>
      </c>
      <c r="C34" s="6"/>
      <c r="D34" s="6"/>
      <c r="E34" s="6"/>
      <c r="F34" s="14"/>
      <c r="G34" s="109">
        <f>G33+G32+G31+G26+G25+G18+G17</f>
        <v>1335826.0923113499</v>
      </c>
    </row>
    <row r="35" spans="2:12" ht="15.75" x14ac:dyDescent="0.25">
      <c r="B35" s="6" t="s">
        <v>26</v>
      </c>
      <c r="C35" s="6"/>
      <c r="D35" s="6"/>
      <c r="E35" s="6"/>
      <c r="F35" s="46">
        <v>0.20349999999999999</v>
      </c>
      <c r="G35" s="109">
        <f>G34*F35</f>
        <v>271840.6097853597</v>
      </c>
    </row>
    <row r="36" spans="2:12" ht="15.75" x14ac:dyDescent="0.25">
      <c r="B36" s="6" t="s">
        <v>1</v>
      </c>
      <c r="C36" s="6"/>
      <c r="D36" s="6"/>
      <c r="E36" s="6"/>
      <c r="F36" s="14"/>
      <c r="G36" s="109">
        <f>G34+G35</f>
        <v>1607666.7020967095</v>
      </c>
    </row>
    <row r="37" spans="2:12" ht="15.75" x14ac:dyDescent="0.25">
      <c r="B37" s="6" t="s">
        <v>27</v>
      </c>
      <c r="C37" s="6"/>
      <c r="D37" s="50"/>
      <c r="E37" s="6"/>
      <c r="F37" s="46">
        <v>0.15</v>
      </c>
      <c r="G37" s="109">
        <f>G36*F37</f>
        <v>241150.00531450642</v>
      </c>
    </row>
    <row r="38" spans="2:12" ht="15.75" x14ac:dyDescent="0.25">
      <c r="B38" s="164" t="s">
        <v>38</v>
      </c>
      <c r="C38" s="164"/>
      <c r="D38" s="164"/>
      <c r="E38" s="164"/>
      <c r="F38" s="46">
        <v>0.01</v>
      </c>
      <c r="G38" s="109">
        <f>(G36+G37)*F38</f>
        <v>18488.16707411216</v>
      </c>
    </row>
    <row r="39" spans="2:12" ht="15.75" x14ac:dyDescent="0.25">
      <c r="B39" s="6" t="s">
        <v>24</v>
      </c>
      <c r="C39" s="6"/>
      <c r="D39" s="6"/>
      <c r="E39" s="6"/>
      <c r="F39" s="14"/>
      <c r="G39" s="109">
        <f>G36+G37+G38</f>
        <v>1867304.8744853281</v>
      </c>
    </row>
    <row r="40" spans="2:12" ht="15.75" x14ac:dyDescent="0.25">
      <c r="B40" s="4" t="s">
        <v>25</v>
      </c>
      <c r="C40" s="6"/>
      <c r="D40" s="6"/>
      <c r="E40" s="6"/>
      <c r="F40" s="14"/>
      <c r="G40" s="109">
        <f>ROUND(G39/G15,0)</f>
        <v>1867</v>
      </c>
    </row>
    <row r="41" spans="2:12" ht="16.5" customHeight="1" x14ac:dyDescent="0.25">
      <c r="B41" s="24"/>
      <c r="C41" s="24"/>
      <c r="D41" s="24"/>
      <c r="E41" s="24"/>
      <c r="F41" s="24"/>
      <c r="G41" s="24"/>
    </row>
    <row r="42" spans="2:12" ht="15.75" customHeight="1" x14ac:dyDescent="0.25">
      <c r="B42" s="24" t="s">
        <v>153</v>
      </c>
      <c r="C42" s="24"/>
      <c r="D42" s="24"/>
      <c r="E42" s="24"/>
      <c r="F42" s="62"/>
      <c r="G42" s="62" t="s">
        <v>154</v>
      </c>
    </row>
    <row r="43" spans="2:12" ht="18.75" customHeight="1" x14ac:dyDescent="0.25">
      <c r="B43" s="24"/>
      <c r="C43" s="24"/>
      <c r="D43" s="24"/>
      <c r="E43" s="24"/>
      <c r="F43" s="24"/>
      <c r="G43" s="24"/>
    </row>
  </sheetData>
  <mergeCells count="7">
    <mergeCell ref="B38:E38"/>
    <mergeCell ref="B10:G10"/>
    <mergeCell ref="B3:D4"/>
    <mergeCell ref="F3:G4"/>
    <mergeCell ref="B12:E12"/>
    <mergeCell ref="B16:E16"/>
    <mergeCell ref="B33:E33"/>
  </mergeCells>
  <pageMargins left="0.42" right="0.26" top="0.34" bottom="0.75" header="0.31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7" zoomScale="90" zoomScaleNormal="90" workbookViewId="0">
      <selection activeCell="E35" sqref="E35"/>
    </sheetView>
  </sheetViews>
  <sheetFormatPr defaultRowHeight="15" x14ac:dyDescent="0.25"/>
  <cols>
    <col min="4" max="4" width="40.140625" customWidth="1"/>
    <col min="5" max="5" width="12.7109375" customWidth="1"/>
    <col min="6" max="6" width="14.85546875" customWidth="1"/>
    <col min="9" max="9" width="10.42578125" bestFit="1" customWidth="1"/>
  </cols>
  <sheetData>
    <row r="1" spans="1:6" ht="15.75" x14ac:dyDescent="0.25">
      <c r="A1" s="1" t="s">
        <v>15</v>
      </c>
      <c r="B1" s="11"/>
      <c r="C1" s="11"/>
      <c r="D1" s="12" t="s">
        <v>247</v>
      </c>
      <c r="E1" s="12" t="s">
        <v>248</v>
      </c>
      <c r="F1" s="13"/>
    </row>
    <row r="2" spans="1:6" ht="15.75" x14ac:dyDescent="0.25">
      <c r="A2" s="152" t="s">
        <v>159</v>
      </c>
      <c r="B2" s="152"/>
      <c r="C2" s="152"/>
      <c r="D2" s="99" t="s">
        <v>160</v>
      </c>
      <c r="E2" s="152" t="s">
        <v>161</v>
      </c>
      <c r="F2" s="152"/>
    </row>
    <row r="3" spans="1:6" ht="36" customHeight="1" x14ac:dyDescent="0.25">
      <c r="A3" s="152"/>
      <c r="B3" s="152"/>
      <c r="C3" s="152"/>
      <c r="D3" s="28"/>
      <c r="E3" s="152"/>
      <c r="F3" s="152"/>
    </row>
    <row r="4" spans="1:6" ht="16.5" customHeight="1" x14ac:dyDescent="0.25">
      <c r="A4" s="1" t="s">
        <v>65</v>
      </c>
      <c r="B4" s="11"/>
      <c r="C4" s="11"/>
      <c r="D4" s="12"/>
      <c r="E4" s="12" t="s">
        <v>58</v>
      </c>
      <c r="F4" s="13"/>
    </row>
    <row r="5" spans="1:6" ht="15.75" x14ac:dyDescent="0.25">
      <c r="A5" s="1" t="s">
        <v>150</v>
      </c>
      <c r="B5" s="11"/>
      <c r="C5" s="11"/>
      <c r="D5" s="12" t="s">
        <v>181</v>
      </c>
      <c r="E5" s="12" t="s">
        <v>187</v>
      </c>
      <c r="F5" s="13"/>
    </row>
    <row r="6" spans="1:6" ht="15.75" x14ac:dyDescent="0.25">
      <c r="A6" s="1"/>
      <c r="B6" s="11"/>
      <c r="C6" s="11"/>
      <c r="D6" s="12"/>
      <c r="E6" s="12"/>
      <c r="F6" s="13"/>
    </row>
    <row r="7" spans="1:6" ht="18.75" x14ac:dyDescent="0.3">
      <c r="A7" s="153" t="s">
        <v>44</v>
      </c>
      <c r="B7" s="153"/>
      <c r="C7" s="153"/>
      <c r="D7" s="153"/>
      <c r="E7" s="153"/>
      <c r="F7" s="153"/>
    </row>
    <row r="8" spans="1:6" ht="18.75" x14ac:dyDescent="0.3">
      <c r="A8" s="153" t="s">
        <v>190</v>
      </c>
      <c r="B8" s="153"/>
      <c r="C8" s="153"/>
      <c r="D8" s="153"/>
      <c r="E8" s="153"/>
      <c r="F8" s="153"/>
    </row>
    <row r="9" spans="1:6" ht="18.75" x14ac:dyDescent="0.3">
      <c r="A9" s="153" t="s">
        <v>52</v>
      </c>
      <c r="B9" s="153"/>
      <c r="C9" s="153"/>
      <c r="D9" s="153"/>
      <c r="E9" s="153"/>
      <c r="F9" s="153"/>
    </row>
    <row r="10" spans="1:6" ht="9.75" customHeight="1" x14ac:dyDescent="0.3">
      <c r="A10" s="2"/>
    </row>
    <row r="11" spans="1:6" ht="31.5" x14ac:dyDescent="0.25">
      <c r="A11" s="154"/>
      <c r="B11" s="155"/>
      <c r="C11" s="155"/>
      <c r="D11" s="156"/>
      <c r="E11" s="16" t="s">
        <v>12</v>
      </c>
      <c r="F11" s="17" t="s">
        <v>13</v>
      </c>
    </row>
    <row r="12" spans="1:6" ht="15.75" x14ac:dyDescent="0.25">
      <c r="A12" s="6" t="s">
        <v>66</v>
      </c>
      <c r="B12" s="5"/>
      <c r="C12" s="5"/>
      <c r="D12" s="5"/>
      <c r="E12" s="16">
        <v>267155.13</v>
      </c>
      <c r="F12" s="115"/>
    </row>
    <row r="13" spans="1:6" ht="15.75" x14ac:dyDescent="0.25">
      <c r="A13" s="86" t="s">
        <v>39</v>
      </c>
      <c r="B13" s="87"/>
      <c r="C13" s="87"/>
      <c r="D13" s="22"/>
      <c r="E13" s="21"/>
      <c r="F13" s="115">
        <v>12.5</v>
      </c>
    </row>
    <row r="14" spans="1:6" ht="15.75" x14ac:dyDescent="0.25">
      <c r="A14" s="6" t="s">
        <v>5</v>
      </c>
      <c r="B14" s="5"/>
      <c r="C14" s="7"/>
      <c r="D14" s="8"/>
      <c r="E14" s="15" t="s">
        <v>30</v>
      </c>
      <c r="F14" s="115">
        <v>1232</v>
      </c>
    </row>
    <row r="15" spans="1:6" ht="15.75" x14ac:dyDescent="0.25">
      <c r="A15" s="158" t="s">
        <v>17</v>
      </c>
      <c r="B15" s="159"/>
      <c r="C15" s="159"/>
      <c r="D15" s="160"/>
      <c r="E15" s="14" t="s">
        <v>21</v>
      </c>
      <c r="F15" s="115">
        <v>900</v>
      </c>
    </row>
    <row r="16" spans="1:6" ht="15.75" x14ac:dyDescent="0.25">
      <c r="A16" s="6" t="s">
        <v>71</v>
      </c>
      <c r="B16" s="5"/>
      <c r="C16" s="5"/>
      <c r="D16" s="5"/>
      <c r="E16" s="5"/>
      <c r="F16" s="114">
        <f>E12*F13%</f>
        <v>33394.391250000001</v>
      </c>
    </row>
    <row r="17" spans="1:6" ht="15.75" x14ac:dyDescent="0.25">
      <c r="A17" s="161"/>
      <c r="B17" s="162"/>
      <c r="C17" s="162"/>
      <c r="D17" s="163"/>
      <c r="E17" s="5" t="s">
        <v>36</v>
      </c>
      <c r="F17" s="114"/>
    </row>
    <row r="18" spans="1:6" ht="15.75" x14ac:dyDescent="0.25">
      <c r="A18" s="6" t="s">
        <v>113</v>
      </c>
      <c r="B18" s="5"/>
      <c r="C18" s="5"/>
      <c r="D18" s="18"/>
      <c r="E18" s="19">
        <f>SUM(E19:E24)</f>
        <v>128.457581175</v>
      </c>
      <c r="F18" s="114">
        <f>F14*E18</f>
        <v>158259.74000759999</v>
      </c>
    </row>
    <row r="19" spans="1:6" ht="15.75" x14ac:dyDescent="0.25">
      <c r="A19" s="6" t="s">
        <v>22</v>
      </c>
      <c r="B19" s="5"/>
      <c r="C19" s="5"/>
      <c r="D19" s="5"/>
      <c r="E19" s="19">
        <v>62.51</v>
      </c>
      <c r="F19" s="115"/>
    </row>
    <row r="20" spans="1:6" ht="15.75" x14ac:dyDescent="0.25">
      <c r="A20" s="6" t="s">
        <v>18</v>
      </c>
      <c r="B20" s="5"/>
      <c r="C20" s="5"/>
      <c r="D20" s="5"/>
      <c r="E20" s="19">
        <f>E19*20%</f>
        <v>12.502000000000001</v>
      </c>
      <c r="F20" s="115"/>
    </row>
    <row r="21" spans="1:6" ht="15.75" x14ac:dyDescent="0.25">
      <c r="A21" s="6" t="s">
        <v>42</v>
      </c>
      <c r="B21" s="5"/>
      <c r="C21" s="5"/>
      <c r="D21" s="5"/>
      <c r="E21" s="19">
        <f>E19*15%</f>
        <v>9.3765000000000001</v>
      </c>
      <c r="F21" s="115"/>
    </row>
    <row r="22" spans="1:6" ht="15.75" x14ac:dyDescent="0.25">
      <c r="A22" s="6" t="s">
        <v>103</v>
      </c>
      <c r="B22" s="5"/>
      <c r="C22" s="5"/>
      <c r="D22" s="5"/>
      <c r="E22" s="19">
        <f>E19*30%</f>
        <v>18.753</v>
      </c>
      <c r="F22" s="115"/>
    </row>
    <row r="23" spans="1:6" ht="15.75" x14ac:dyDescent="0.25">
      <c r="A23" s="6" t="s">
        <v>9</v>
      </c>
      <c r="B23" s="5"/>
      <c r="C23" s="5"/>
      <c r="D23" s="5"/>
      <c r="E23" s="19">
        <f>(E19+E20+E21+E22)*15%</f>
        <v>15.471224999999999</v>
      </c>
      <c r="F23" s="115"/>
    </row>
    <row r="24" spans="1:6" ht="15.75" x14ac:dyDescent="0.25">
      <c r="A24" s="6" t="s">
        <v>41</v>
      </c>
      <c r="B24" s="5"/>
      <c r="C24" s="5"/>
      <c r="D24" s="5"/>
      <c r="E24" s="19">
        <f>(E19+E20+E21+E22+E23)*8.3%</f>
        <v>9.8448561750000003</v>
      </c>
      <c r="F24" s="115"/>
    </row>
    <row r="25" spans="1:6" ht="15.75" x14ac:dyDescent="0.25">
      <c r="A25" s="6" t="s">
        <v>28</v>
      </c>
      <c r="B25" s="5"/>
      <c r="C25" s="5"/>
      <c r="D25" s="5"/>
      <c r="E25" s="20">
        <v>0.30199999999999999</v>
      </c>
      <c r="F25" s="114">
        <f>F18*E25</f>
        <v>47794.441482295195</v>
      </c>
    </row>
    <row r="26" spans="1:6" ht="15.75" x14ac:dyDescent="0.25">
      <c r="A26" s="6" t="s">
        <v>23</v>
      </c>
      <c r="B26" s="5"/>
      <c r="C26" s="5"/>
      <c r="D26" s="5"/>
      <c r="E26" s="5"/>
      <c r="F26" s="114">
        <f>F28+F30</f>
        <v>683452</v>
      </c>
    </row>
    <row r="27" spans="1:6" ht="15.75" x14ac:dyDescent="0.25">
      <c r="A27" s="6" t="s">
        <v>124</v>
      </c>
      <c r="B27" s="5"/>
      <c r="C27" s="5"/>
      <c r="D27" s="5"/>
      <c r="E27" s="34">
        <v>7</v>
      </c>
      <c r="F27" s="115">
        <f>E27*F14</f>
        <v>8624</v>
      </c>
    </row>
    <row r="28" spans="1:6" ht="16.5" customHeight="1" x14ac:dyDescent="0.25">
      <c r="A28" s="6" t="s">
        <v>237</v>
      </c>
      <c r="B28" s="5"/>
      <c r="C28" s="5"/>
      <c r="D28" s="5"/>
      <c r="E28" s="19">
        <v>60</v>
      </c>
      <c r="F28" s="115">
        <f>E28*F27</f>
        <v>517440</v>
      </c>
    </row>
    <row r="29" spans="1:6" ht="15.75" x14ac:dyDescent="0.25">
      <c r="A29" s="6" t="s">
        <v>29</v>
      </c>
      <c r="B29" s="5"/>
      <c r="C29" s="5"/>
      <c r="D29" s="5"/>
      <c r="E29" s="20">
        <v>5.5E-2</v>
      </c>
      <c r="F29" s="115">
        <f>E29*F27</f>
        <v>474.32</v>
      </c>
    </row>
    <row r="30" spans="1:6" ht="15.75" x14ac:dyDescent="0.25">
      <c r="A30" s="6" t="s">
        <v>238</v>
      </c>
      <c r="B30" s="5"/>
      <c r="C30" s="5"/>
      <c r="D30" s="5"/>
      <c r="E30" s="5">
        <v>350</v>
      </c>
      <c r="F30" s="115">
        <f>E30*F29</f>
        <v>166012</v>
      </c>
    </row>
    <row r="31" spans="1:6" ht="15.75" x14ac:dyDescent="0.25">
      <c r="A31" s="6" t="s">
        <v>60</v>
      </c>
      <c r="B31" s="5"/>
      <c r="C31" s="5"/>
      <c r="D31" s="5"/>
      <c r="E31" s="21">
        <v>0.50349999999999995</v>
      </c>
      <c r="F31" s="114">
        <f>E31*E12</f>
        <v>134512.60795499998</v>
      </c>
    </row>
    <row r="32" spans="1:6" ht="15.75" x14ac:dyDescent="0.25">
      <c r="A32" s="6" t="s">
        <v>2</v>
      </c>
      <c r="B32" s="5"/>
      <c r="C32" s="5"/>
      <c r="D32" s="5"/>
      <c r="E32" s="5"/>
      <c r="F32" s="114">
        <v>1875</v>
      </c>
    </row>
    <row r="33" spans="1:9" ht="15.75" x14ac:dyDescent="0.25">
      <c r="A33" s="158" t="s">
        <v>120</v>
      </c>
      <c r="B33" s="159"/>
      <c r="C33" s="159"/>
      <c r="D33" s="160"/>
      <c r="E33" s="21">
        <v>0.2</v>
      </c>
      <c r="F33" s="114">
        <f>ROUND((F16+F18+F25+F26+F31)*E33,2)</f>
        <v>211482.64</v>
      </c>
      <c r="I33" s="90"/>
    </row>
    <row r="34" spans="1:9" ht="15.75" x14ac:dyDescent="0.25">
      <c r="A34" s="6" t="s">
        <v>20</v>
      </c>
      <c r="B34" s="5"/>
      <c r="C34" s="5"/>
      <c r="D34" s="5"/>
      <c r="E34" s="5"/>
      <c r="F34" s="116">
        <f>F33+F32+F31+F26+F25+F18+F16</f>
        <v>1270770.8206948955</v>
      </c>
    </row>
    <row r="35" spans="1:9" ht="15.75" x14ac:dyDescent="0.25">
      <c r="A35" s="6" t="s">
        <v>26</v>
      </c>
      <c r="B35" s="5"/>
      <c r="C35" s="5"/>
      <c r="D35" s="5"/>
      <c r="E35" s="21">
        <v>0.251</v>
      </c>
      <c r="F35" s="116">
        <f>F34*E35</f>
        <v>318963.47599441878</v>
      </c>
    </row>
    <row r="36" spans="1:9" ht="15.75" x14ac:dyDescent="0.25">
      <c r="A36" s="6" t="s">
        <v>1</v>
      </c>
      <c r="B36" s="5"/>
      <c r="C36" s="5"/>
      <c r="D36" s="5"/>
      <c r="E36" s="5"/>
      <c r="F36" s="116">
        <f>F34+F35</f>
        <v>1589734.2966893143</v>
      </c>
    </row>
    <row r="37" spans="1:9" ht="15.75" x14ac:dyDescent="0.25">
      <c r="A37" s="6" t="s">
        <v>27</v>
      </c>
      <c r="B37" s="5"/>
      <c r="C37" s="9"/>
      <c r="D37" s="5"/>
      <c r="E37" s="21">
        <v>0.15</v>
      </c>
      <c r="F37" s="116">
        <f>F36*E37</f>
        <v>238460.14450339714</v>
      </c>
    </row>
    <row r="38" spans="1:9" ht="15.75" x14ac:dyDescent="0.25">
      <c r="A38" s="158" t="s">
        <v>38</v>
      </c>
      <c r="B38" s="159"/>
      <c r="C38" s="159"/>
      <c r="D38" s="160"/>
      <c r="E38" s="21">
        <v>0.01</v>
      </c>
      <c r="F38" s="116">
        <f>(F36+F37)*E38</f>
        <v>18281.944411927114</v>
      </c>
    </row>
    <row r="39" spans="1:9" ht="15.75" x14ac:dyDescent="0.25">
      <c r="A39" s="6" t="s">
        <v>24</v>
      </c>
      <c r="B39" s="5"/>
      <c r="C39" s="5"/>
      <c r="D39" s="5"/>
      <c r="E39" s="5"/>
      <c r="F39" s="116">
        <f>F36+F37+F38</f>
        <v>1846476.3856046386</v>
      </c>
    </row>
    <row r="40" spans="1:9" ht="15.75" x14ac:dyDescent="0.25">
      <c r="A40" s="4" t="s">
        <v>31</v>
      </c>
      <c r="B40" s="5"/>
      <c r="C40" s="5"/>
      <c r="D40" s="5"/>
      <c r="E40" s="5"/>
      <c r="F40" s="116">
        <f>ROUND(F39/F14,0)</f>
        <v>1499</v>
      </c>
    </row>
    <row r="41" spans="1:9" ht="15.75" x14ac:dyDescent="0.25">
      <c r="A41" s="157"/>
      <c r="B41" s="157"/>
      <c r="C41" s="157"/>
      <c r="D41" s="157"/>
      <c r="E41" s="157"/>
      <c r="F41" s="157"/>
    </row>
    <row r="42" spans="1:9" ht="15.75" x14ac:dyDescent="0.25">
      <c r="A42" s="24" t="s">
        <v>153</v>
      </c>
      <c r="B42" s="24"/>
      <c r="C42" s="24"/>
      <c r="D42" s="24"/>
      <c r="E42" s="62"/>
      <c r="F42" s="62" t="s">
        <v>154</v>
      </c>
    </row>
    <row r="43" spans="1:9" ht="15.75" x14ac:dyDescent="0.25">
      <c r="A43" s="24"/>
      <c r="B43" s="25"/>
      <c r="C43" s="25"/>
      <c r="D43" s="70"/>
      <c r="E43" s="70"/>
      <c r="F43" s="70"/>
    </row>
  </sheetData>
  <mergeCells count="11">
    <mergeCell ref="A2:C3"/>
    <mergeCell ref="E2:F3"/>
    <mergeCell ref="A9:F9"/>
    <mergeCell ref="A38:D38"/>
    <mergeCell ref="A41:F41"/>
    <mergeCell ref="A7:F7"/>
    <mergeCell ref="A8:F8"/>
    <mergeCell ref="A11:D11"/>
    <mergeCell ref="A15:D15"/>
    <mergeCell ref="A17:D17"/>
    <mergeCell ref="A33:D33"/>
  </mergeCells>
  <pageMargins left="0.56999999999999995" right="0.21" top="0.4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10" workbookViewId="0">
      <selection activeCell="E37" sqref="E37"/>
    </sheetView>
  </sheetViews>
  <sheetFormatPr defaultRowHeight="15" x14ac:dyDescent="0.25"/>
  <cols>
    <col min="1" max="2" width="9.140625" style="29"/>
    <col min="3" max="3" width="12.28515625" style="29" customWidth="1"/>
    <col min="4" max="4" width="37.85546875" style="29" customWidth="1"/>
    <col min="5" max="5" width="10" style="29" customWidth="1"/>
    <col min="6" max="6" width="13.85546875" style="29" customWidth="1"/>
    <col min="7" max="7" width="9.5703125" style="29" bestFit="1" customWidth="1"/>
    <col min="8" max="8" width="9.42578125" style="29" bestFit="1" customWidth="1"/>
    <col min="9" max="16384" width="9.140625" style="29"/>
  </cols>
  <sheetData>
    <row r="1" spans="1:6" ht="15.75" x14ac:dyDescent="0.25">
      <c r="A1" s="1" t="s">
        <v>15</v>
      </c>
      <c r="B1" s="1"/>
      <c r="C1" s="1"/>
      <c r="D1" s="12" t="s">
        <v>92</v>
      </c>
      <c r="E1" s="12"/>
      <c r="F1" s="12"/>
    </row>
    <row r="2" spans="1:6" ht="15" customHeight="1" x14ac:dyDescent="0.25">
      <c r="A2" s="152" t="s">
        <v>159</v>
      </c>
      <c r="B2" s="152"/>
      <c r="C2" s="152"/>
      <c r="D2" s="99" t="s">
        <v>160</v>
      </c>
      <c r="E2" s="152" t="s">
        <v>161</v>
      </c>
      <c r="F2" s="152"/>
    </row>
    <row r="3" spans="1:6" ht="31.5" customHeight="1" x14ac:dyDescent="0.25">
      <c r="A3" s="152"/>
      <c r="B3" s="152"/>
      <c r="C3" s="152"/>
      <c r="D3" s="28"/>
      <c r="E3" s="152"/>
      <c r="F3" s="152"/>
    </row>
    <row r="4" spans="1:6" ht="15.75" x14ac:dyDescent="0.25">
      <c r="A4" s="1" t="s">
        <v>67</v>
      </c>
      <c r="B4" s="1"/>
      <c r="C4" s="1"/>
      <c r="D4" s="12" t="s">
        <v>188</v>
      </c>
      <c r="E4" s="12" t="s">
        <v>58</v>
      </c>
      <c r="F4" s="12"/>
    </row>
    <row r="5" spans="1:6" ht="15.75" x14ac:dyDescent="0.25">
      <c r="A5" s="1" t="s">
        <v>150</v>
      </c>
      <c r="B5" s="1"/>
      <c r="C5" s="1"/>
      <c r="D5" s="12" t="s">
        <v>189</v>
      </c>
      <c r="E5" s="12" t="s">
        <v>186</v>
      </c>
      <c r="F5" s="12"/>
    </row>
    <row r="6" spans="1:6" ht="15.75" x14ac:dyDescent="0.25">
      <c r="A6" s="1"/>
      <c r="B6" s="1"/>
      <c r="C6" s="1"/>
      <c r="D6" s="12"/>
      <c r="E6" s="12"/>
      <c r="F6" s="12"/>
    </row>
    <row r="7" spans="1:6" ht="15.75" x14ac:dyDescent="0.25">
      <c r="A7" s="80"/>
      <c r="B7" s="80" t="s">
        <v>93</v>
      </c>
      <c r="C7" s="80"/>
      <c r="D7" s="80"/>
      <c r="E7" s="80"/>
      <c r="F7" s="80"/>
    </row>
    <row r="8" spans="1:6" ht="15.75" x14ac:dyDescent="0.25">
      <c r="A8" s="166" t="s">
        <v>94</v>
      </c>
      <c r="B8" s="166"/>
      <c r="C8" s="166"/>
      <c r="D8" s="166"/>
      <c r="E8" s="166"/>
      <c r="F8" s="166"/>
    </row>
    <row r="9" spans="1:6" ht="15.75" x14ac:dyDescent="0.25">
      <c r="A9" s="79"/>
      <c r="B9" s="79"/>
      <c r="C9" s="79"/>
      <c r="D9" s="79"/>
      <c r="E9" s="79"/>
      <c r="F9" s="79"/>
    </row>
    <row r="10" spans="1:6" ht="31.5" x14ac:dyDescent="0.25">
      <c r="A10" s="154"/>
      <c r="B10" s="155"/>
      <c r="C10" s="155"/>
      <c r="D10" s="156"/>
      <c r="E10" s="39" t="s">
        <v>12</v>
      </c>
      <c r="F10" s="4" t="s">
        <v>13</v>
      </c>
    </row>
    <row r="11" spans="1:6" ht="15.75" x14ac:dyDescent="0.25">
      <c r="A11" s="6" t="s">
        <v>95</v>
      </c>
      <c r="B11" s="6"/>
      <c r="C11" s="6"/>
      <c r="D11" s="6"/>
      <c r="E11" s="81">
        <v>619990</v>
      </c>
      <c r="F11" s="107"/>
    </row>
    <row r="12" spans="1:6" ht="15.75" x14ac:dyDescent="0.25">
      <c r="A12" s="77" t="s">
        <v>37</v>
      </c>
      <c r="B12" s="78"/>
      <c r="C12" s="78"/>
      <c r="D12" s="22"/>
      <c r="E12" s="46">
        <v>0.125</v>
      </c>
      <c r="F12" s="118">
        <v>12.5</v>
      </c>
    </row>
    <row r="13" spans="1:6" ht="15.75" x14ac:dyDescent="0.25">
      <c r="A13" s="6" t="s">
        <v>5</v>
      </c>
      <c r="B13" s="6"/>
      <c r="C13" s="77"/>
      <c r="D13" s="78"/>
      <c r="E13" s="14" t="s">
        <v>30</v>
      </c>
      <c r="F13" s="118">
        <v>1650</v>
      </c>
    </row>
    <row r="14" spans="1:6" ht="15.75" x14ac:dyDescent="0.25">
      <c r="A14" s="158" t="s">
        <v>96</v>
      </c>
      <c r="B14" s="159"/>
      <c r="C14" s="159"/>
      <c r="D14" s="160"/>
      <c r="E14" s="14" t="s">
        <v>97</v>
      </c>
      <c r="F14" s="118">
        <v>30000</v>
      </c>
    </row>
    <row r="15" spans="1:6" ht="15.75" x14ac:dyDescent="0.25">
      <c r="A15" s="6" t="s">
        <v>71</v>
      </c>
      <c r="B15" s="6"/>
      <c r="C15" s="6"/>
      <c r="D15" s="6"/>
      <c r="E15" s="14"/>
      <c r="F15" s="119">
        <f>E11*F12%</f>
        <v>77498.75</v>
      </c>
    </row>
    <row r="16" spans="1:6" ht="15.75" x14ac:dyDescent="0.25">
      <c r="A16" s="6" t="s">
        <v>98</v>
      </c>
      <c r="B16" s="6"/>
      <c r="C16" s="6"/>
      <c r="D16" s="6"/>
      <c r="E16" s="41">
        <f>SUM(E17:E22)</f>
        <v>136.242889125</v>
      </c>
      <c r="F16" s="119">
        <f>E16*F13</f>
        <v>224800.76705625001</v>
      </c>
    </row>
    <row r="17" spans="1:8" ht="15.75" x14ac:dyDescent="0.25">
      <c r="A17" s="6" t="s">
        <v>112</v>
      </c>
      <c r="B17" s="6"/>
      <c r="C17" s="6"/>
      <c r="D17" s="65"/>
      <c r="E17" s="14">
        <v>62.51</v>
      </c>
      <c r="F17" s="118"/>
    </row>
    <row r="18" spans="1:8" ht="15.75" x14ac:dyDescent="0.25">
      <c r="A18" s="6" t="s">
        <v>107</v>
      </c>
      <c r="B18" s="6"/>
      <c r="C18" s="6"/>
      <c r="D18" s="6"/>
      <c r="E18" s="41">
        <f>E17*20%</f>
        <v>12.502000000000001</v>
      </c>
      <c r="F18" s="118"/>
    </row>
    <row r="19" spans="1:8" ht="15.75" x14ac:dyDescent="0.25">
      <c r="A19" s="6" t="s">
        <v>117</v>
      </c>
      <c r="B19" s="6"/>
      <c r="C19" s="6"/>
      <c r="D19" s="6"/>
      <c r="E19" s="41">
        <f>E17*25%</f>
        <v>15.6275</v>
      </c>
      <c r="F19" s="118"/>
    </row>
    <row r="20" spans="1:8" ht="15.75" x14ac:dyDescent="0.25">
      <c r="A20" s="6" t="s">
        <v>19</v>
      </c>
      <c r="B20" s="6"/>
      <c r="C20" s="6"/>
      <c r="D20" s="6"/>
      <c r="E20" s="41">
        <f>E17*30%</f>
        <v>18.753</v>
      </c>
      <c r="F20" s="118"/>
    </row>
    <row r="21" spans="1:8" ht="15.75" x14ac:dyDescent="0.25">
      <c r="A21" s="6" t="s">
        <v>9</v>
      </c>
      <c r="B21" s="6"/>
      <c r="C21" s="6"/>
      <c r="D21" s="6"/>
      <c r="E21" s="41">
        <f>(E17+E18+E19+E20)*15%</f>
        <v>16.408874999999998</v>
      </c>
      <c r="F21" s="118"/>
    </row>
    <row r="22" spans="1:8" ht="15.75" x14ac:dyDescent="0.25">
      <c r="A22" s="6" t="s">
        <v>41</v>
      </c>
      <c r="B22" s="6"/>
      <c r="C22" s="6"/>
      <c r="D22" s="6"/>
      <c r="E22" s="41">
        <f>(E17+E18+E19+E20+E21)*8.3%</f>
        <v>10.441514124999999</v>
      </c>
      <c r="F22" s="118"/>
    </row>
    <row r="23" spans="1:8" ht="15.75" x14ac:dyDescent="0.25">
      <c r="A23" s="6" t="s">
        <v>32</v>
      </c>
      <c r="B23" s="6"/>
      <c r="C23" s="6"/>
      <c r="D23" s="6"/>
      <c r="E23" s="43">
        <v>0.30199999999999999</v>
      </c>
      <c r="F23" s="119">
        <f>F16*E23</f>
        <v>67889.8316509875</v>
      </c>
    </row>
    <row r="24" spans="1:8" ht="15.75" x14ac:dyDescent="0.25">
      <c r="A24" s="6" t="s">
        <v>23</v>
      </c>
      <c r="B24" s="6"/>
      <c r="C24" s="6"/>
      <c r="D24" s="6"/>
      <c r="E24" s="14"/>
      <c r="F24" s="119">
        <f>F28+F30</f>
        <v>292908</v>
      </c>
    </row>
    <row r="25" spans="1:8" ht="15.75" x14ac:dyDescent="0.25">
      <c r="A25" s="6" t="s">
        <v>116</v>
      </c>
      <c r="B25" s="6"/>
      <c r="C25" s="6"/>
      <c r="D25" s="6"/>
      <c r="E25" s="41">
        <v>14</v>
      </c>
      <c r="F25" s="118">
        <f>E25*F14/100</f>
        <v>4200</v>
      </c>
    </row>
    <row r="26" spans="1:8" ht="15.75" x14ac:dyDescent="0.25">
      <c r="A26" s="6" t="s">
        <v>14</v>
      </c>
      <c r="B26" s="6"/>
      <c r="C26" s="6"/>
      <c r="D26" s="6"/>
      <c r="E26" s="46">
        <v>0.1</v>
      </c>
      <c r="F26" s="118">
        <f>F25*E26</f>
        <v>420</v>
      </c>
    </row>
    <row r="27" spans="1:8" ht="15.75" x14ac:dyDescent="0.25">
      <c r="A27" s="77" t="s">
        <v>0</v>
      </c>
      <c r="B27" s="78"/>
      <c r="C27" s="78"/>
      <c r="D27" s="78"/>
      <c r="E27" s="46"/>
      <c r="F27" s="118">
        <f>F25+F26</f>
        <v>4620</v>
      </c>
    </row>
    <row r="28" spans="1:8" ht="15.75" x14ac:dyDescent="0.25">
      <c r="A28" s="6" t="s">
        <v>101</v>
      </c>
      <c r="B28" s="6"/>
      <c r="C28" s="6"/>
      <c r="D28" s="6"/>
      <c r="E28" s="120">
        <v>55</v>
      </c>
      <c r="F28" s="118">
        <f>E28*F27</f>
        <v>254100</v>
      </c>
    </row>
    <row r="29" spans="1:8" ht="15.75" x14ac:dyDescent="0.25">
      <c r="A29" s="6" t="s">
        <v>99</v>
      </c>
      <c r="B29" s="6"/>
      <c r="C29" s="6"/>
      <c r="D29" s="6"/>
      <c r="E29" s="43">
        <v>2.4E-2</v>
      </c>
      <c r="F29" s="118">
        <f>E29*F27</f>
        <v>110.88</v>
      </c>
    </row>
    <row r="30" spans="1:8" ht="15.75" x14ac:dyDescent="0.25">
      <c r="A30" s="6" t="s">
        <v>156</v>
      </c>
      <c r="B30" s="6"/>
      <c r="C30" s="6"/>
      <c r="D30" s="6"/>
      <c r="E30" s="14">
        <v>350</v>
      </c>
      <c r="F30" s="118">
        <f>E30*F29</f>
        <v>38808</v>
      </c>
    </row>
    <row r="31" spans="1:8" ht="15.75" x14ac:dyDescent="0.25">
      <c r="A31" s="6" t="s">
        <v>100</v>
      </c>
      <c r="B31" s="6"/>
      <c r="C31" s="6"/>
      <c r="D31" s="6"/>
      <c r="E31" s="46">
        <v>0.5</v>
      </c>
      <c r="F31" s="119">
        <f>ROUND(F15*E31,2)</f>
        <v>38749.379999999997</v>
      </c>
      <c r="H31" s="83"/>
    </row>
    <row r="32" spans="1:8" ht="15.75" x14ac:dyDescent="0.25">
      <c r="A32" s="6" t="s">
        <v>2</v>
      </c>
      <c r="B32" s="6"/>
      <c r="C32" s="6"/>
      <c r="D32" s="6"/>
      <c r="E32" s="14"/>
      <c r="F32" s="119">
        <v>4488</v>
      </c>
    </row>
    <row r="33" spans="1:8" ht="15.75" x14ac:dyDescent="0.25">
      <c r="A33" s="158" t="s">
        <v>118</v>
      </c>
      <c r="B33" s="159"/>
      <c r="C33" s="159"/>
      <c r="D33" s="160"/>
      <c r="E33" s="46">
        <v>0.2</v>
      </c>
      <c r="F33" s="119">
        <f>ROUND((F15+F16+F23+F24+F31)*E33,2)</f>
        <v>140369.35</v>
      </c>
    </row>
    <row r="34" spans="1:8" ht="15.75" x14ac:dyDescent="0.25">
      <c r="A34" s="6" t="s">
        <v>20</v>
      </c>
      <c r="B34" s="6"/>
      <c r="C34" s="6"/>
      <c r="D34" s="6"/>
      <c r="E34" s="14"/>
      <c r="F34" s="119">
        <f>F33+F32+F31+F24+F23+F16+F15</f>
        <v>846704.0787072375</v>
      </c>
    </row>
    <row r="35" spans="1:8" ht="15.75" x14ac:dyDescent="0.25">
      <c r="A35" s="6" t="s">
        <v>26</v>
      </c>
      <c r="B35" s="6"/>
      <c r="C35" s="6"/>
      <c r="D35" s="6"/>
      <c r="E35" s="46">
        <v>0.2</v>
      </c>
      <c r="F35" s="119">
        <f>F34*E35</f>
        <v>169340.8157414475</v>
      </c>
    </row>
    <row r="36" spans="1:8" ht="15.75" x14ac:dyDescent="0.25">
      <c r="A36" s="6" t="s">
        <v>1</v>
      </c>
      <c r="B36" s="6"/>
      <c r="C36" s="6"/>
      <c r="D36" s="6"/>
      <c r="E36" s="14"/>
      <c r="F36" s="119">
        <f>F34+F35</f>
        <v>1016044.894448685</v>
      </c>
    </row>
    <row r="37" spans="1:8" ht="15.75" x14ac:dyDescent="0.25">
      <c r="A37" s="6" t="s">
        <v>27</v>
      </c>
      <c r="B37" s="6"/>
      <c r="C37" s="76"/>
      <c r="D37" s="6"/>
      <c r="E37" s="46">
        <v>0.35</v>
      </c>
      <c r="F37" s="119">
        <f>F36*E37</f>
        <v>355615.71305703971</v>
      </c>
    </row>
    <row r="38" spans="1:8" ht="15.75" x14ac:dyDescent="0.25">
      <c r="A38" s="158" t="s">
        <v>38</v>
      </c>
      <c r="B38" s="159"/>
      <c r="C38" s="159"/>
      <c r="D38" s="160"/>
      <c r="E38" s="46">
        <v>0.01</v>
      </c>
      <c r="F38" s="119">
        <f>(F36+F37)*E38</f>
        <v>13716.606075057249</v>
      </c>
    </row>
    <row r="39" spans="1:8" ht="15.75" x14ac:dyDescent="0.25">
      <c r="A39" s="6" t="s">
        <v>24</v>
      </c>
      <c r="B39" s="6"/>
      <c r="C39" s="6"/>
      <c r="D39" s="6"/>
      <c r="E39" s="14"/>
      <c r="F39" s="119">
        <f>F36+F37+F38</f>
        <v>1385377.2135807821</v>
      </c>
      <c r="H39" s="83"/>
    </row>
    <row r="40" spans="1:8" ht="15.75" x14ac:dyDescent="0.25">
      <c r="A40" s="4" t="s">
        <v>25</v>
      </c>
      <c r="B40" s="6"/>
      <c r="C40" s="6"/>
      <c r="D40" s="6"/>
      <c r="E40" s="14"/>
      <c r="F40" s="119">
        <f>ROUND(F39/F13,0)</f>
        <v>840</v>
      </c>
      <c r="G40" s="84"/>
    </row>
    <row r="41" spans="1:8" ht="15.75" x14ac:dyDescent="0.25">
      <c r="A41" s="24"/>
      <c r="B41" s="24"/>
      <c r="C41" s="24"/>
      <c r="D41" s="24"/>
      <c r="E41" s="24"/>
      <c r="F41" s="85"/>
    </row>
    <row r="42" spans="1:8" ht="15.75" x14ac:dyDescent="0.25">
      <c r="A42" s="24" t="s">
        <v>153</v>
      </c>
      <c r="B42" s="24"/>
      <c r="C42" s="24"/>
      <c r="D42" s="24"/>
      <c r="E42" s="62"/>
      <c r="F42" s="62" t="s">
        <v>154</v>
      </c>
    </row>
    <row r="43" spans="1:8" ht="15.75" x14ac:dyDescent="0.25">
      <c r="A43" s="24"/>
      <c r="B43" s="24"/>
      <c r="C43" s="24"/>
      <c r="D43" s="24"/>
      <c r="E43" s="24"/>
      <c r="F43" s="24"/>
    </row>
  </sheetData>
  <mergeCells count="7">
    <mergeCell ref="A2:C3"/>
    <mergeCell ref="E2:F3"/>
    <mergeCell ref="A38:D38"/>
    <mergeCell ref="A8:F8"/>
    <mergeCell ref="A10:D10"/>
    <mergeCell ref="A14:D14"/>
    <mergeCell ref="A33:D33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opLeftCell="A10" workbookViewId="0">
      <selection activeCell="E34" sqref="E34"/>
    </sheetView>
  </sheetViews>
  <sheetFormatPr defaultRowHeight="15" x14ac:dyDescent="0.25"/>
  <cols>
    <col min="1" max="2" width="9.140625" style="29"/>
    <col min="3" max="3" width="12.28515625" style="29" customWidth="1"/>
    <col min="4" max="4" width="37.85546875" style="29" customWidth="1"/>
    <col min="5" max="5" width="11.140625" style="29" customWidth="1"/>
    <col min="6" max="6" width="13.85546875" style="29" customWidth="1"/>
    <col min="7" max="7" width="9.5703125" style="29" bestFit="1" customWidth="1"/>
    <col min="8" max="8" width="9.42578125" style="29" bestFit="1" customWidth="1"/>
    <col min="9" max="16384" width="9.140625" style="29"/>
  </cols>
  <sheetData>
    <row r="1" spans="1:6" ht="15.75" x14ac:dyDescent="0.25">
      <c r="A1" s="1" t="s">
        <v>15</v>
      </c>
      <c r="B1" s="1"/>
      <c r="C1" s="1"/>
      <c r="D1" s="12" t="s">
        <v>92</v>
      </c>
      <c r="E1" s="12"/>
      <c r="F1" s="12"/>
    </row>
    <row r="2" spans="1:6" ht="15" customHeight="1" x14ac:dyDescent="0.25">
      <c r="A2" s="152" t="s">
        <v>159</v>
      </c>
      <c r="B2" s="152"/>
      <c r="C2" s="152"/>
      <c r="D2" s="99" t="s">
        <v>160</v>
      </c>
      <c r="E2" s="152" t="s">
        <v>161</v>
      </c>
      <c r="F2" s="152"/>
    </row>
    <row r="3" spans="1:6" ht="31.5" customHeight="1" x14ac:dyDescent="0.25">
      <c r="A3" s="152"/>
      <c r="B3" s="152"/>
      <c r="C3" s="152"/>
      <c r="D3" s="28"/>
      <c r="E3" s="152"/>
      <c r="F3" s="152"/>
    </row>
    <row r="4" spans="1:6" ht="15.75" x14ac:dyDescent="0.25">
      <c r="A4" s="1" t="s">
        <v>67</v>
      </c>
      <c r="B4" s="1"/>
      <c r="C4" s="1"/>
      <c r="D4" s="12" t="s">
        <v>188</v>
      </c>
      <c r="E4" s="12" t="s">
        <v>58</v>
      </c>
      <c r="F4" s="12"/>
    </row>
    <row r="5" spans="1:6" ht="15.75" x14ac:dyDescent="0.25">
      <c r="A5" s="1" t="s">
        <v>150</v>
      </c>
      <c r="B5" s="1"/>
      <c r="C5" s="1"/>
      <c r="D5" s="12" t="s">
        <v>189</v>
      </c>
      <c r="E5" s="12" t="s">
        <v>186</v>
      </c>
      <c r="F5" s="12"/>
    </row>
    <row r="6" spans="1:6" ht="15.75" x14ac:dyDescent="0.25">
      <c r="A6" s="1"/>
      <c r="B6" s="1"/>
      <c r="C6" s="1"/>
      <c r="D6" s="12"/>
      <c r="E6" s="12"/>
      <c r="F6" s="12"/>
    </row>
    <row r="7" spans="1:6" ht="15.75" x14ac:dyDescent="0.25">
      <c r="A7" s="80"/>
      <c r="B7" s="80" t="s">
        <v>93</v>
      </c>
      <c r="C7" s="80"/>
      <c r="D7" s="80"/>
      <c r="E7" s="80"/>
      <c r="F7" s="80"/>
    </row>
    <row r="8" spans="1:6" ht="15.75" x14ac:dyDescent="0.25">
      <c r="A8" s="166" t="s">
        <v>94</v>
      </c>
      <c r="B8" s="166"/>
      <c r="C8" s="166"/>
      <c r="D8" s="166"/>
      <c r="E8" s="166"/>
      <c r="F8" s="166"/>
    </row>
    <row r="9" spans="1:6" ht="15.75" x14ac:dyDescent="0.25">
      <c r="A9" s="136"/>
      <c r="B9" s="136"/>
      <c r="C9" s="136"/>
      <c r="D9" s="136"/>
      <c r="E9" s="136"/>
      <c r="F9" s="136"/>
    </row>
    <row r="10" spans="1:6" ht="31.5" x14ac:dyDescent="0.25">
      <c r="A10" s="154"/>
      <c r="B10" s="155"/>
      <c r="C10" s="155"/>
      <c r="D10" s="156"/>
      <c r="E10" s="39" t="s">
        <v>12</v>
      </c>
      <c r="F10" s="4" t="s">
        <v>13</v>
      </c>
    </row>
    <row r="11" spans="1:6" ht="15.75" x14ac:dyDescent="0.25">
      <c r="A11" s="6" t="s">
        <v>251</v>
      </c>
      <c r="B11" s="6"/>
      <c r="C11" s="6"/>
      <c r="D11" s="6"/>
      <c r="E11" s="81">
        <v>513200</v>
      </c>
      <c r="F11" s="107"/>
    </row>
    <row r="12" spans="1:6" ht="15.75" x14ac:dyDescent="0.25">
      <c r="A12" s="134" t="s">
        <v>37</v>
      </c>
      <c r="B12" s="135"/>
      <c r="C12" s="135"/>
      <c r="D12" s="22"/>
      <c r="E12" s="46">
        <v>0.125</v>
      </c>
      <c r="F12" s="118">
        <v>12.5</v>
      </c>
    </row>
    <row r="13" spans="1:6" ht="15.75" x14ac:dyDescent="0.25">
      <c r="A13" s="6" t="s">
        <v>5</v>
      </c>
      <c r="B13" s="6"/>
      <c r="C13" s="134"/>
      <c r="D13" s="135"/>
      <c r="E13" s="14" t="s">
        <v>30</v>
      </c>
      <c r="F13" s="118">
        <v>1650</v>
      </c>
    </row>
    <row r="14" spans="1:6" ht="15.75" x14ac:dyDescent="0.25">
      <c r="A14" s="158" t="s">
        <v>96</v>
      </c>
      <c r="B14" s="159"/>
      <c r="C14" s="159"/>
      <c r="D14" s="160"/>
      <c r="E14" s="14" t="s">
        <v>97</v>
      </c>
      <c r="F14" s="118">
        <v>35109</v>
      </c>
    </row>
    <row r="15" spans="1:6" ht="15.75" x14ac:dyDescent="0.25">
      <c r="A15" s="6" t="s">
        <v>71</v>
      </c>
      <c r="B15" s="6"/>
      <c r="C15" s="6"/>
      <c r="D15" s="6"/>
      <c r="E15" s="14"/>
      <c r="F15" s="119">
        <f>E11*F12%</f>
        <v>64150</v>
      </c>
    </row>
    <row r="16" spans="1:6" ht="15.75" x14ac:dyDescent="0.25">
      <c r="A16" s="6" t="s">
        <v>98</v>
      </c>
      <c r="B16" s="6"/>
      <c r="C16" s="6"/>
      <c r="D16" s="6"/>
      <c r="E16" s="41">
        <f>SUM(E17:E22)</f>
        <v>136.242889125</v>
      </c>
      <c r="F16" s="119">
        <f>E16*F13</f>
        <v>224800.76705625001</v>
      </c>
    </row>
    <row r="17" spans="1:8" ht="15.75" x14ac:dyDescent="0.25">
      <c r="A17" s="6" t="s">
        <v>112</v>
      </c>
      <c r="B17" s="6"/>
      <c r="C17" s="6"/>
      <c r="D17" s="65"/>
      <c r="E17" s="14">
        <v>62.51</v>
      </c>
      <c r="F17" s="118"/>
    </row>
    <row r="18" spans="1:8" ht="15.75" x14ac:dyDescent="0.25">
      <c r="A18" s="6" t="s">
        <v>107</v>
      </c>
      <c r="B18" s="6"/>
      <c r="C18" s="6"/>
      <c r="D18" s="6"/>
      <c r="E18" s="41">
        <f>E17*20%</f>
        <v>12.502000000000001</v>
      </c>
      <c r="F18" s="118"/>
    </row>
    <row r="19" spans="1:8" ht="15.75" x14ac:dyDescent="0.25">
      <c r="A19" s="6" t="s">
        <v>117</v>
      </c>
      <c r="B19" s="6"/>
      <c r="C19" s="6"/>
      <c r="D19" s="6"/>
      <c r="E19" s="41">
        <f>E17*25%</f>
        <v>15.6275</v>
      </c>
      <c r="F19" s="118"/>
    </row>
    <row r="20" spans="1:8" ht="15.75" x14ac:dyDescent="0.25">
      <c r="A20" s="6" t="s">
        <v>19</v>
      </c>
      <c r="B20" s="6"/>
      <c r="C20" s="6"/>
      <c r="D20" s="6"/>
      <c r="E20" s="41">
        <f>E17*30%</f>
        <v>18.753</v>
      </c>
      <c r="F20" s="118"/>
    </row>
    <row r="21" spans="1:8" ht="15.75" x14ac:dyDescent="0.25">
      <c r="A21" s="6" t="s">
        <v>9</v>
      </c>
      <c r="B21" s="6"/>
      <c r="C21" s="6"/>
      <c r="D21" s="6"/>
      <c r="E21" s="41">
        <f>(E17+E18+E19+E20)*15%</f>
        <v>16.408874999999998</v>
      </c>
      <c r="F21" s="118"/>
    </row>
    <row r="22" spans="1:8" ht="15.75" x14ac:dyDescent="0.25">
      <c r="A22" s="6" t="s">
        <v>41</v>
      </c>
      <c r="B22" s="6"/>
      <c r="C22" s="6"/>
      <c r="D22" s="6"/>
      <c r="E22" s="41">
        <f>(E17+E18+E19+E20+E21)*8.3%</f>
        <v>10.441514124999999</v>
      </c>
      <c r="F22" s="118"/>
    </row>
    <row r="23" spans="1:8" ht="15.75" x14ac:dyDescent="0.25">
      <c r="A23" s="6" t="s">
        <v>32</v>
      </c>
      <c r="B23" s="6"/>
      <c r="C23" s="6"/>
      <c r="D23" s="6"/>
      <c r="E23" s="43">
        <v>0.30199999999999999</v>
      </c>
      <c r="F23" s="119">
        <f>F16*E23</f>
        <v>67889.8316509875</v>
      </c>
    </row>
    <row r="24" spans="1:8" ht="15.75" x14ac:dyDescent="0.25">
      <c r="A24" s="6" t="s">
        <v>23</v>
      </c>
      <c r="B24" s="6"/>
      <c r="C24" s="6"/>
      <c r="D24" s="6"/>
      <c r="E24" s="14"/>
      <c r="F24" s="119">
        <f>F28+F30</f>
        <v>240398.34479999999</v>
      </c>
    </row>
    <row r="25" spans="1:8" ht="15.75" x14ac:dyDescent="0.25">
      <c r="A25" s="6" t="s">
        <v>252</v>
      </c>
      <c r="B25" s="6"/>
      <c r="C25" s="6"/>
      <c r="D25" s="6"/>
      <c r="E25" s="41">
        <v>9</v>
      </c>
      <c r="F25" s="118">
        <f>E25*F14/100</f>
        <v>3159.81</v>
      </c>
    </row>
    <row r="26" spans="1:8" ht="15.75" x14ac:dyDescent="0.25">
      <c r="A26" s="6" t="s">
        <v>253</v>
      </c>
      <c r="B26" s="6"/>
      <c r="C26" s="6"/>
      <c r="D26" s="6"/>
      <c r="E26" s="46">
        <v>0.2</v>
      </c>
      <c r="F26" s="118">
        <f>F25*E26</f>
        <v>631.96199999999999</v>
      </c>
    </row>
    <row r="27" spans="1:8" ht="15.75" x14ac:dyDescent="0.25">
      <c r="A27" s="134" t="s">
        <v>0</v>
      </c>
      <c r="B27" s="135"/>
      <c r="C27" s="135"/>
      <c r="D27" s="135"/>
      <c r="E27" s="46"/>
      <c r="F27" s="118">
        <f>F25+F26</f>
        <v>3791.7719999999999</v>
      </c>
    </row>
    <row r="28" spans="1:8" ht="15.75" x14ac:dyDescent="0.25">
      <c r="A28" s="6" t="s">
        <v>101</v>
      </c>
      <c r="B28" s="6"/>
      <c r="C28" s="6"/>
      <c r="D28" s="6"/>
      <c r="E28" s="120">
        <v>55</v>
      </c>
      <c r="F28" s="118">
        <f>E28*F27</f>
        <v>208547.46</v>
      </c>
    </row>
    <row r="29" spans="1:8" ht="15.75" x14ac:dyDescent="0.25">
      <c r="A29" s="6" t="s">
        <v>99</v>
      </c>
      <c r="B29" s="6"/>
      <c r="C29" s="6"/>
      <c r="D29" s="6"/>
      <c r="E29" s="43">
        <v>2.4E-2</v>
      </c>
      <c r="F29" s="118">
        <f>E29*F27</f>
        <v>91.002527999999998</v>
      </c>
    </row>
    <row r="30" spans="1:8" ht="15.75" x14ac:dyDescent="0.25">
      <c r="A30" s="6" t="s">
        <v>156</v>
      </c>
      <c r="B30" s="6"/>
      <c r="C30" s="6"/>
      <c r="D30" s="6"/>
      <c r="E30" s="14">
        <v>350</v>
      </c>
      <c r="F30" s="118">
        <f>E30*F29</f>
        <v>31850.8848</v>
      </c>
    </row>
    <row r="31" spans="1:8" ht="15.75" x14ac:dyDescent="0.25">
      <c r="A31" s="6" t="s">
        <v>100</v>
      </c>
      <c r="B31" s="6"/>
      <c r="C31" s="6"/>
      <c r="D31" s="6"/>
      <c r="E31" s="46">
        <v>0.5</v>
      </c>
      <c r="F31" s="119">
        <f>F15*50/100</f>
        <v>32075</v>
      </c>
      <c r="H31" s="83"/>
    </row>
    <row r="32" spans="1:8" ht="15.75" x14ac:dyDescent="0.25">
      <c r="A32" s="6" t="s">
        <v>2</v>
      </c>
      <c r="B32" s="6"/>
      <c r="C32" s="6"/>
      <c r="D32" s="6"/>
      <c r="E32" s="14"/>
      <c r="F32" s="119">
        <v>2929</v>
      </c>
    </row>
    <row r="33" spans="1:8" ht="15.75" x14ac:dyDescent="0.25">
      <c r="A33" s="158" t="s">
        <v>118</v>
      </c>
      <c r="B33" s="159"/>
      <c r="C33" s="159"/>
      <c r="D33" s="160"/>
      <c r="E33" s="46">
        <v>0.1</v>
      </c>
      <c r="F33" s="119">
        <f>ROUND((F15+F16+F23+F24+F31+F32)*E33,2)</f>
        <v>63224.29</v>
      </c>
    </row>
    <row r="34" spans="1:8" ht="15.75" x14ac:dyDescent="0.25">
      <c r="A34" s="6" t="s">
        <v>20</v>
      </c>
      <c r="B34" s="6"/>
      <c r="C34" s="6"/>
      <c r="D34" s="6"/>
      <c r="E34" s="14"/>
      <c r="F34" s="119">
        <f>F33+F32+F31+F24+F23+F16+F15</f>
        <v>695467.23350723751</v>
      </c>
    </row>
    <row r="35" spans="1:8" ht="15.75" x14ac:dyDescent="0.25">
      <c r="A35" s="6" t="s">
        <v>26</v>
      </c>
      <c r="B35" s="6"/>
      <c r="C35" s="6"/>
      <c r="D35" s="6"/>
      <c r="E35" s="46">
        <v>0.2</v>
      </c>
      <c r="F35" s="119">
        <f>F34*E35</f>
        <v>139093.44670144751</v>
      </c>
    </row>
    <row r="36" spans="1:8" ht="15.75" x14ac:dyDescent="0.25">
      <c r="A36" s="6" t="s">
        <v>1</v>
      </c>
      <c r="B36" s="6"/>
      <c r="C36" s="6"/>
      <c r="D36" s="6"/>
      <c r="E36" s="14"/>
      <c r="F36" s="119">
        <f>F34+F35</f>
        <v>834560.68020868499</v>
      </c>
    </row>
    <row r="37" spans="1:8" ht="15.75" x14ac:dyDescent="0.25">
      <c r="A37" s="6" t="s">
        <v>27</v>
      </c>
      <c r="B37" s="6"/>
      <c r="C37" s="133"/>
      <c r="D37" s="6"/>
      <c r="E37" s="46">
        <v>0.35</v>
      </c>
      <c r="F37" s="119">
        <f>F36*E37</f>
        <v>292096.23807303974</v>
      </c>
    </row>
    <row r="38" spans="1:8" ht="15.75" x14ac:dyDescent="0.25">
      <c r="A38" s="158" t="s">
        <v>38</v>
      </c>
      <c r="B38" s="159"/>
      <c r="C38" s="159"/>
      <c r="D38" s="160"/>
      <c r="E38" s="46">
        <v>0.01</v>
      </c>
      <c r="F38" s="119">
        <f>(F36+F37)*E38</f>
        <v>11266.569182817248</v>
      </c>
    </row>
    <row r="39" spans="1:8" ht="15.75" x14ac:dyDescent="0.25">
      <c r="A39" s="6" t="s">
        <v>24</v>
      </c>
      <c r="B39" s="6"/>
      <c r="C39" s="6"/>
      <c r="D39" s="6"/>
      <c r="E39" s="14"/>
      <c r="F39" s="119">
        <f>F36+F37+F38</f>
        <v>1137923.487464542</v>
      </c>
      <c r="H39" s="83"/>
    </row>
    <row r="40" spans="1:8" ht="15.75" x14ac:dyDescent="0.25">
      <c r="A40" s="4" t="s">
        <v>25</v>
      </c>
      <c r="B40" s="6"/>
      <c r="C40" s="6"/>
      <c r="D40" s="6"/>
      <c r="E40" s="14"/>
      <c r="F40" s="119">
        <f>ROUND(F39/F13,0)</f>
        <v>690</v>
      </c>
      <c r="G40" s="84"/>
    </row>
    <row r="41" spans="1:8" ht="15.75" x14ac:dyDescent="0.25">
      <c r="A41" s="24"/>
      <c r="B41" s="24"/>
      <c r="C41" s="24"/>
      <c r="D41" s="24"/>
      <c r="E41" s="24"/>
      <c r="F41" s="85"/>
    </row>
    <row r="42" spans="1:8" ht="15.75" x14ac:dyDescent="0.25">
      <c r="A42" s="24" t="s">
        <v>153</v>
      </c>
      <c r="B42" s="24"/>
      <c r="C42" s="24"/>
      <c r="D42" s="24"/>
      <c r="E42" s="62"/>
      <c r="F42" s="62" t="s">
        <v>154</v>
      </c>
    </row>
    <row r="43" spans="1:8" ht="15.75" x14ac:dyDescent="0.25">
      <c r="A43" s="24"/>
      <c r="B43" s="24"/>
      <c r="C43" s="24"/>
      <c r="D43" s="24"/>
      <c r="E43" s="24"/>
      <c r="F43" s="24"/>
    </row>
  </sheetData>
  <mergeCells count="7">
    <mergeCell ref="A38:D38"/>
    <mergeCell ref="A2:C3"/>
    <mergeCell ref="E2:F3"/>
    <mergeCell ref="A8:F8"/>
    <mergeCell ref="A10:D10"/>
    <mergeCell ref="A14:D14"/>
    <mergeCell ref="A33:D33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opLeftCell="A16" zoomScaleNormal="100" workbookViewId="0">
      <selection activeCell="E34" sqref="E34"/>
    </sheetView>
  </sheetViews>
  <sheetFormatPr defaultRowHeight="15" x14ac:dyDescent="0.25"/>
  <cols>
    <col min="1" max="1" width="5.7109375" customWidth="1"/>
    <col min="4" max="4" width="43.7109375" customWidth="1"/>
    <col min="5" max="5" width="14.28515625" customWidth="1"/>
    <col min="6" max="6" width="15.5703125" customWidth="1"/>
    <col min="8" max="8" width="10.42578125" bestFit="1" customWidth="1"/>
    <col min="9" max="9" width="9.42578125" bestFit="1" customWidth="1"/>
    <col min="11" max="11" width="10.5703125" bestFit="1" customWidth="1"/>
  </cols>
  <sheetData>
    <row r="1" spans="1:9" s="29" customFormat="1" x14ac:dyDescent="0.25">
      <c r="A1" s="29" t="s">
        <v>15</v>
      </c>
      <c r="E1" s="30" t="s">
        <v>140</v>
      </c>
      <c r="F1" s="96"/>
      <c r="G1" s="30"/>
    </row>
    <row r="2" spans="1:9" s="29" customFormat="1" ht="47.25" customHeight="1" x14ac:dyDescent="0.25">
      <c r="A2" s="152" t="s">
        <v>159</v>
      </c>
      <c r="B2" s="152"/>
      <c r="C2" s="152"/>
      <c r="D2" s="28"/>
      <c r="E2" s="170" t="s">
        <v>161</v>
      </c>
      <c r="F2" s="170"/>
      <c r="H2" s="96"/>
      <c r="I2" s="96"/>
    </row>
    <row r="3" spans="1:9" s="29" customFormat="1" ht="30.75" customHeight="1" x14ac:dyDescent="0.25">
      <c r="A3" s="152"/>
      <c r="B3" s="152"/>
      <c r="C3" s="152"/>
      <c r="D3" s="28"/>
      <c r="E3" s="170"/>
      <c r="F3" s="170"/>
    </row>
    <row r="4" spans="1:9" s="29" customFormat="1" ht="15.75" customHeight="1" x14ac:dyDescent="0.25">
      <c r="A4" s="29" t="s">
        <v>67</v>
      </c>
      <c r="E4" s="30" t="s">
        <v>139</v>
      </c>
      <c r="F4" s="30"/>
      <c r="G4" s="30"/>
    </row>
    <row r="5" spans="1:9" s="29" customFormat="1" x14ac:dyDescent="0.25">
      <c r="A5" s="29" t="s">
        <v>150</v>
      </c>
      <c r="E5" s="30" t="s">
        <v>158</v>
      </c>
      <c r="F5" s="30"/>
      <c r="G5" s="30"/>
    </row>
    <row r="6" spans="1:9" s="29" customFormat="1" ht="15.75" x14ac:dyDescent="0.25">
      <c r="A6" s="1"/>
      <c r="B6" s="1"/>
      <c r="C6" s="1"/>
      <c r="D6" s="12"/>
      <c r="E6" s="12"/>
      <c r="F6" s="12"/>
    </row>
    <row r="7" spans="1:9" s="29" customFormat="1" ht="15.75" x14ac:dyDescent="0.25">
      <c r="A7" s="80"/>
      <c r="B7" s="80" t="s">
        <v>106</v>
      </c>
      <c r="C7" s="80"/>
      <c r="D7" s="80"/>
      <c r="E7" s="80"/>
      <c r="F7" s="80"/>
    </row>
    <row r="8" spans="1:9" s="29" customFormat="1" ht="15.75" x14ac:dyDescent="0.25">
      <c r="A8" s="166" t="s">
        <v>94</v>
      </c>
      <c r="B8" s="166"/>
      <c r="C8" s="166"/>
      <c r="D8" s="166"/>
      <c r="E8" s="166"/>
      <c r="F8" s="166"/>
    </row>
    <row r="9" spans="1:9" s="29" customFormat="1" ht="15.75" x14ac:dyDescent="0.25">
      <c r="A9" s="127"/>
      <c r="B9" s="127"/>
      <c r="C9" s="127"/>
      <c r="D9" s="127"/>
      <c r="E9" s="127"/>
      <c r="F9" s="127"/>
    </row>
    <row r="10" spans="1:9" s="29" customFormat="1" ht="31.5" x14ac:dyDescent="0.25">
      <c r="A10" s="154"/>
      <c r="B10" s="155"/>
      <c r="C10" s="155"/>
      <c r="D10" s="156"/>
      <c r="E10" s="39" t="s">
        <v>12</v>
      </c>
      <c r="F10" s="4" t="s">
        <v>13</v>
      </c>
    </row>
    <row r="11" spans="1:9" s="29" customFormat="1" ht="15.75" x14ac:dyDescent="0.25">
      <c r="A11" s="6" t="s">
        <v>105</v>
      </c>
      <c r="B11" s="6"/>
      <c r="C11" s="6"/>
      <c r="D11" s="6"/>
      <c r="E11" s="81">
        <v>973000</v>
      </c>
      <c r="F11" s="107"/>
    </row>
    <row r="12" spans="1:9" s="29" customFormat="1" ht="15.75" x14ac:dyDescent="0.25">
      <c r="A12" s="125" t="s">
        <v>37</v>
      </c>
      <c r="B12" s="126"/>
      <c r="C12" s="126"/>
      <c r="D12" s="22"/>
      <c r="E12" s="66">
        <v>0.1</v>
      </c>
      <c r="F12" s="118">
        <v>10</v>
      </c>
    </row>
    <row r="13" spans="1:9" s="29" customFormat="1" ht="15.75" x14ac:dyDescent="0.25">
      <c r="A13" s="6" t="s">
        <v>5</v>
      </c>
      <c r="B13" s="6"/>
      <c r="C13" s="125"/>
      <c r="D13" s="126"/>
      <c r="E13" s="14" t="s">
        <v>30</v>
      </c>
      <c r="F13" s="118">
        <v>1650</v>
      </c>
    </row>
    <row r="14" spans="1:9" s="29" customFormat="1" ht="15.75" x14ac:dyDescent="0.25">
      <c r="A14" s="158" t="s">
        <v>96</v>
      </c>
      <c r="B14" s="159"/>
      <c r="C14" s="159"/>
      <c r="D14" s="160"/>
      <c r="E14" s="14" t="s">
        <v>97</v>
      </c>
      <c r="F14" s="118">
        <v>30000</v>
      </c>
    </row>
    <row r="15" spans="1:9" s="29" customFormat="1" ht="15.75" x14ac:dyDescent="0.25">
      <c r="A15" s="121" t="s">
        <v>128</v>
      </c>
      <c r="B15" s="122"/>
      <c r="C15" s="122"/>
      <c r="D15" s="123"/>
      <c r="E15" s="14" t="s">
        <v>129</v>
      </c>
      <c r="F15" s="118">
        <v>990</v>
      </c>
    </row>
    <row r="16" spans="1:9" s="29" customFormat="1" ht="15.75" x14ac:dyDescent="0.25">
      <c r="A16" s="121" t="s">
        <v>131</v>
      </c>
      <c r="B16" s="122"/>
      <c r="C16" s="122"/>
      <c r="D16" s="123"/>
      <c r="E16" s="14" t="s">
        <v>130</v>
      </c>
      <c r="F16" s="118">
        <v>65000</v>
      </c>
    </row>
    <row r="17" spans="1:6" s="29" customFormat="1" ht="15.75" x14ac:dyDescent="0.25">
      <c r="A17" s="6" t="s">
        <v>71</v>
      </c>
      <c r="B17" s="6"/>
      <c r="C17" s="6"/>
      <c r="D17" s="6"/>
      <c r="E17" s="6"/>
      <c r="F17" s="119">
        <f>E11*F12%</f>
        <v>97300</v>
      </c>
    </row>
    <row r="18" spans="1:6" s="29" customFormat="1" ht="15.75" x14ac:dyDescent="0.25">
      <c r="A18" s="6" t="s">
        <v>98</v>
      </c>
      <c r="B18" s="6"/>
      <c r="C18" s="6"/>
      <c r="D18" s="6"/>
      <c r="E18" s="67">
        <f>SUM(E19:E24)</f>
        <v>177.46043415</v>
      </c>
      <c r="F18" s="119">
        <f>E18*F13</f>
        <v>292809.71634749998</v>
      </c>
    </row>
    <row r="19" spans="1:6" s="29" customFormat="1" ht="15.75" x14ac:dyDescent="0.25">
      <c r="A19" s="6" t="s">
        <v>125</v>
      </c>
      <c r="B19" s="6"/>
      <c r="C19" s="6"/>
      <c r="D19" s="6"/>
      <c r="E19" s="6">
        <v>77.02</v>
      </c>
      <c r="F19" s="118"/>
    </row>
    <row r="20" spans="1:6" s="29" customFormat="1" ht="15.75" x14ac:dyDescent="0.25">
      <c r="A20" s="6" t="s">
        <v>107</v>
      </c>
      <c r="B20" s="6"/>
      <c r="C20" s="6"/>
      <c r="D20" s="6"/>
      <c r="E20" s="67">
        <f>E19*20%</f>
        <v>15.404</v>
      </c>
      <c r="F20" s="118"/>
    </row>
    <row r="21" spans="1:6" s="29" customFormat="1" ht="15.75" x14ac:dyDescent="0.25">
      <c r="A21" s="6" t="s">
        <v>40</v>
      </c>
      <c r="B21" s="6"/>
      <c r="C21" s="6"/>
      <c r="D21" s="6"/>
      <c r="E21" s="67">
        <f>E19*35%</f>
        <v>26.956999999999997</v>
      </c>
      <c r="F21" s="118"/>
    </row>
    <row r="22" spans="1:6" s="29" customFormat="1" ht="15.75" x14ac:dyDescent="0.25">
      <c r="A22" s="6" t="s">
        <v>19</v>
      </c>
      <c r="B22" s="6"/>
      <c r="C22" s="6"/>
      <c r="D22" s="6"/>
      <c r="E22" s="67">
        <f>E19*30%</f>
        <v>23.105999999999998</v>
      </c>
      <c r="F22" s="118"/>
    </row>
    <row r="23" spans="1:6" s="29" customFormat="1" ht="15.75" x14ac:dyDescent="0.25">
      <c r="A23" s="6" t="s">
        <v>9</v>
      </c>
      <c r="B23" s="6"/>
      <c r="C23" s="6"/>
      <c r="D23" s="6"/>
      <c r="E23" s="67">
        <f>(E19+E20+E21+E22)*15%</f>
        <v>21.373049999999999</v>
      </c>
      <c r="F23" s="118"/>
    </row>
    <row r="24" spans="1:6" s="29" customFormat="1" ht="15.75" x14ac:dyDescent="0.25">
      <c r="A24" s="6" t="s">
        <v>41</v>
      </c>
      <c r="B24" s="6"/>
      <c r="C24" s="6"/>
      <c r="D24" s="6"/>
      <c r="E24" s="67">
        <f>(E19+E20+E21+E22+E23)*8.3%</f>
        <v>13.60038415</v>
      </c>
      <c r="F24" s="118"/>
    </row>
    <row r="25" spans="1:6" s="29" customFormat="1" ht="15.75" x14ac:dyDescent="0.25">
      <c r="A25" s="6" t="s">
        <v>32</v>
      </c>
      <c r="B25" s="6"/>
      <c r="C25" s="6"/>
      <c r="D25" s="6"/>
      <c r="E25" s="68">
        <v>0.30199999999999999</v>
      </c>
      <c r="F25" s="119">
        <f>F18*E25</f>
        <v>88428.534336944998</v>
      </c>
    </row>
    <row r="26" spans="1:6" s="29" customFormat="1" ht="15.75" x14ac:dyDescent="0.25">
      <c r="A26" s="6" t="s">
        <v>23</v>
      </c>
      <c r="B26" s="6"/>
      <c r="C26" s="6"/>
      <c r="D26" s="6"/>
      <c r="E26" s="6"/>
      <c r="F26" s="119">
        <f>F30+F32</f>
        <v>755032.5</v>
      </c>
    </row>
    <row r="27" spans="1:6" s="29" customFormat="1" ht="30" customHeight="1" x14ac:dyDescent="0.25">
      <c r="A27" s="167" t="s">
        <v>126</v>
      </c>
      <c r="B27" s="168"/>
      <c r="C27" s="168"/>
      <c r="D27" s="169"/>
      <c r="E27" s="67">
        <v>30</v>
      </c>
      <c r="F27" s="118">
        <f>E27*F14/100</f>
        <v>9000</v>
      </c>
    </row>
    <row r="28" spans="1:6" s="29" customFormat="1" ht="32.25" customHeight="1" x14ac:dyDescent="0.25">
      <c r="A28" s="167" t="s">
        <v>14</v>
      </c>
      <c r="B28" s="168"/>
      <c r="C28" s="168"/>
      <c r="D28" s="169"/>
      <c r="E28" s="66">
        <v>0.15</v>
      </c>
      <c r="F28" s="118">
        <f>F27*E28</f>
        <v>1350</v>
      </c>
    </row>
    <row r="29" spans="1:6" s="29" customFormat="1" ht="16.5" customHeight="1" x14ac:dyDescent="0.25">
      <c r="A29" s="167" t="s">
        <v>108</v>
      </c>
      <c r="B29" s="168"/>
      <c r="C29" s="168"/>
      <c r="D29" s="169"/>
      <c r="E29" s="66"/>
      <c r="F29" s="118">
        <f>F27+F28</f>
        <v>10350</v>
      </c>
    </row>
    <row r="30" spans="1:6" s="29" customFormat="1" ht="15.75" customHeight="1" x14ac:dyDescent="0.25">
      <c r="A30" s="167" t="s">
        <v>109</v>
      </c>
      <c r="B30" s="168"/>
      <c r="C30" s="168"/>
      <c r="D30" s="169"/>
      <c r="E30" s="82">
        <v>60</v>
      </c>
      <c r="F30" s="118">
        <f>E30*F29</f>
        <v>621000</v>
      </c>
    </row>
    <row r="31" spans="1:6" s="29" customFormat="1" ht="29.25" customHeight="1" x14ac:dyDescent="0.25">
      <c r="A31" s="167" t="s">
        <v>127</v>
      </c>
      <c r="B31" s="168"/>
      <c r="C31" s="168"/>
      <c r="D31" s="169"/>
      <c r="E31" s="68">
        <v>3.6999999999999998E-2</v>
      </c>
      <c r="F31" s="118">
        <f>E31*F29</f>
        <v>382.95</v>
      </c>
    </row>
    <row r="32" spans="1:6" s="29" customFormat="1" ht="30" customHeight="1" x14ac:dyDescent="0.25">
      <c r="A32" s="167" t="s">
        <v>102</v>
      </c>
      <c r="B32" s="168"/>
      <c r="C32" s="168"/>
      <c r="D32" s="169"/>
      <c r="E32" s="6">
        <v>350</v>
      </c>
      <c r="F32" s="118">
        <f>E32*F31</f>
        <v>134032.5</v>
      </c>
    </row>
    <row r="33" spans="1:13" s="29" customFormat="1" ht="15.75" x14ac:dyDescent="0.25">
      <c r="A33" s="6" t="s">
        <v>249</v>
      </c>
      <c r="B33" s="6"/>
      <c r="C33" s="6"/>
      <c r="D33" s="6"/>
      <c r="E33" s="66">
        <v>0.3</v>
      </c>
      <c r="F33" s="119">
        <f>E11*E33</f>
        <v>291900</v>
      </c>
    </row>
    <row r="34" spans="1:13" s="29" customFormat="1" ht="15.75" x14ac:dyDescent="0.25">
      <c r="A34" s="6" t="s">
        <v>2</v>
      </c>
      <c r="B34" s="6"/>
      <c r="C34" s="6"/>
      <c r="D34" s="6"/>
      <c r="E34" s="6"/>
      <c r="F34" s="119">
        <v>13650</v>
      </c>
    </row>
    <row r="35" spans="1:13" s="29" customFormat="1" ht="15.75" x14ac:dyDescent="0.25">
      <c r="A35" s="158" t="s">
        <v>120</v>
      </c>
      <c r="B35" s="159"/>
      <c r="C35" s="159"/>
      <c r="D35" s="160"/>
      <c r="E35" s="66">
        <v>0.2</v>
      </c>
      <c r="F35" s="119">
        <f>ROUND((F17+F18+F25+F26+F33)*E35,2)</f>
        <v>305094.15000000002</v>
      </c>
      <c r="H35" s="83"/>
    </row>
    <row r="36" spans="1:13" s="29" customFormat="1" ht="15.75" x14ac:dyDescent="0.25">
      <c r="A36" s="6" t="s">
        <v>20</v>
      </c>
      <c r="B36" s="6"/>
      <c r="C36" s="6"/>
      <c r="D36" s="6"/>
      <c r="E36" s="6"/>
      <c r="F36" s="119">
        <f>F35+F34+F33+F26+F25+F18+F17</f>
        <v>1844214.9006844449</v>
      </c>
    </row>
    <row r="37" spans="1:13" s="29" customFormat="1" ht="15.75" x14ac:dyDescent="0.25">
      <c r="A37" s="6" t="s">
        <v>26</v>
      </c>
      <c r="B37" s="6"/>
      <c r="C37" s="6"/>
      <c r="D37" s="6"/>
      <c r="E37" s="66">
        <v>0.20100000000000001</v>
      </c>
      <c r="F37" s="119">
        <f>F36*E37</f>
        <v>370687.19503757346</v>
      </c>
      <c r="H37" s="89"/>
      <c r="K37" s="83"/>
    </row>
    <row r="38" spans="1:13" s="29" customFormat="1" ht="15.75" x14ac:dyDescent="0.25">
      <c r="A38" s="6" t="s">
        <v>1</v>
      </c>
      <c r="B38" s="6"/>
      <c r="C38" s="6"/>
      <c r="D38" s="6"/>
      <c r="E38" s="6"/>
      <c r="F38" s="119">
        <f>F36+F37</f>
        <v>2214902.0957220183</v>
      </c>
    </row>
    <row r="39" spans="1:13" s="29" customFormat="1" ht="15.75" x14ac:dyDescent="0.25">
      <c r="A39" s="6" t="s">
        <v>27</v>
      </c>
      <c r="B39" s="6"/>
      <c r="C39" s="124"/>
      <c r="D39" s="6"/>
      <c r="E39" s="66">
        <v>0.15</v>
      </c>
      <c r="F39" s="119">
        <f>F38*E39</f>
        <v>332235.31435830274</v>
      </c>
      <c r="H39" s="89"/>
      <c r="K39" s="83"/>
    </row>
    <row r="40" spans="1:13" s="29" customFormat="1" ht="15.75" x14ac:dyDescent="0.25">
      <c r="A40" s="158" t="s">
        <v>38</v>
      </c>
      <c r="B40" s="159"/>
      <c r="C40" s="159"/>
      <c r="D40" s="160"/>
      <c r="E40" s="66">
        <v>0.01</v>
      </c>
      <c r="F40" s="119">
        <f>(F38+F39)*E40</f>
        <v>25471.374100803212</v>
      </c>
      <c r="K40" s="83"/>
    </row>
    <row r="41" spans="1:13" s="29" customFormat="1" ht="15.75" x14ac:dyDescent="0.25">
      <c r="A41" s="6" t="s">
        <v>24</v>
      </c>
      <c r="B41" s="6"/>
      <c r="C41" s="6"/>
      <c r="D41" s="6"/>
      <c r="E41" s="6"/>
      <c r="F41" s="119">
        <f>F38+F39+F40</f>
        <v>2572608.7841811245</v>
      </c>
      <c r="H41" s="83">
        <f>F41/F14</f>
        <v>85.753626139370823</v>
      </c>
    </row>
    <row r="42" spans="1:13" s="29" customFormat="1" ht="15.75" x14ac:dyDescent="0.25">
      <c r="A42" s="94" t="s">
        <v>25</v>
      </c>
      <c r="B42" s="93"/>
      <c r="C42" s="93"/>
      <c r="D42" s="93"/>
      <c r="E42" s="6"/>
      <c r="F42" s="119">
        <f>ROUND(F41/F13,0)</f>
        <v>1559</v>
      </c>
      <c r="G42" s="84"/>
    </row>
    <row r="43" spans="1:13" s="29" customFormat="1" ht="15.75" x14ac:dyDescent="0.25">
      <c r="A43" s="91" t="s">
        <v>132</v>
      </c>
      <c r="B43" s="95"/>
      <c r="C43" s="95"/>
      <c r="D43" s="92"/>
      <c r="E43" s="6"/>
      <c r="F43" s="119">
        <f>F41/F16</f>
        <v>39.578596679709605</v>
      </c>
      <c r="G43" s="84"/>
    </row>
    <row r="44" spans="1:13" s="29" customFormat="1" ht="15.75" x14ac:dyDescent="0.25">
      <c r="A44" s="24"/>
      <c r="B44" s="24"/>
      <c r="C44" s="24"/>
      <c r="D44" s="24"/>
      <c r="E44" s="24"/>
      <c r="F44" s="85"/>
    </row>
    <row r="45" spans="1:13" s="29" customFormat="1" ht="15.75" x14ac:dyDescent="0.25">
      <c r="A45" s="24"/>
      <c r="B45" s="24"/>
      <c r="C45" s="24"/>
      <c r="D45" s="24"/>
      <c r="E45" s="24"/>
      <c r="F45" s="85"/>
      <c r="I45" s="83"/>
    </row>
    <row r="46" spans="1:13" s="29" customFormat="1" ht="15.75" x14ac:dyDescent="0.25">
      <c r="A46" s="24" t="s">
        <v>153</v>
      </c>
      <c r="B46" s="24"/>
      <c r="C46" s="24"/>
      <c r="D46" s="24"/>
      <c r="E46" s="62"/>
      <c r="F46" s="62" t="s">
        <v>154</v>
      </c>
    </row>
    <row r="47" spans="1:13" s="29" customFormat="1" ht="15.75" x14ac:dyDescent="0.25">
      <c r="A47" s="24"/>
      <c r="B47" s="24"/>
      <c r="C47" s="24"/>
      <c r="D47" s="24"/>
      <c r="E47" s="24"/>
      <c r="F47" s="24"/>
      <c r="M47" s="83"/>
    </row>
    <row r="48" spans="1:13" s="29" customFormat="1" ht="15.75" x14ac:dyDescent="0.25">
      <c r="A48" s="24"/>
      <c r="B48" s="24"/>
      <c r="C48" s="24"/>
      <c r="D48" s="24"/>
      <c r="E48" s="24"/>
      <c r="F48" s="24"/>
    </row>
    <row r="49" spans="2:11" s="29" customFormat="1" x14ac:dyDescent="0.25"/>
    <row r="51" spans="2:11" x14ac:dyDescent="0.25">
      <c r="B51" t="s">
        <v>141</v>
      </c>
    </row>
    <row r="52" spans="2:11" x14ac:dyDescent="0.25">
      <c r="K52" s="90"/>
    </row>
    <row r="53" spans="2:11" ht="15.75" x14ac:dyDescent="0.25">
      <c r="B53" s="88" t="s">
        <v>142</v>
      </c>
    </row>
    <row r="54" spans="2:11" x14ac:dyDescent="0.25">
      <c r="B54" t="s">
        <v>143</v>
      </c>
      <c r="D54" t="s">
        <v>144</v>
      </c>
      <c r="K54" s="90"/>
    </row>
    <row r="55" spans="2:11" x14ac:dyDescent="0.25">
      <c r="B55" t="s">
        <v>145</v>
      </c>
      <c r="K55" s="90"/>
    </row>
    <row r="56" spans="2:11" x14ac:dyDescent="0.25">
      <c r="B56">
        <v>140</v>
      </c>
      <c r="C56" t="s">
        <v>147</v>
      </c>
    </row>
    <row r="57" spans="2:11" x14ac:dyDescent="0.25">
      <c r="B57" t="s">
        <v>146</v>
      </c>
      <c r="D57" t="s">
        <v>148</v>
      </c>
    </row>
    <row r="58" spans="2:11" x14ac:dyDescent="0.25">
      <c r="B58" t="s">
        <v>149</v>
      </c>
    </row>
  </sheetData>
  <mergeCells count="13">
    <mergeCell ref="A40:D40"/>
    <mergeCell ref="A28:D28"/>
    <mergeCell ref="A29:D29"/>
    <mergeCell ref="A30:D30"/>
    <mergeCell ref="A31:D31"/>
    <mergeCell ref="A32:D32"/>
    <mergeCell ref="A35:D35"/>
    <mergeCell ref="A27:D27"/>
    <mergeCell ref="A2:C3"/>
    <mergeCell ref="E2:F3"/>
    <mergeCell ref="A8:F8"/>
    <mergeCell ref="A10:D10"/>
    <mergeCell ref="A14:D14"/>
  </mergeCells>
  <pageMargins left="0.7" right="0.7" top="0.75" bottom="0.75" header="0.3" footer="0.3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42" zoomScale="110" zoomScaleNormal="110" workbookViewId="0">
      <selection activeCell="K56" sqref="K56"/>
    </sheetView>
  </sheetViews>
  <sheetFormatPr defaultRowHeight="15" x14ac:dyDescent="0.25"/>
  <cols>
    <col min="1" max="1" width="1.28515625" style="29" customWidth="1"/>
    <col min="2" max="4" width="9.140625" style="29"/>
    <col min="5" max="5" width="34.5703125" style="29" customWidth="1"/>
    <col min="6" max="6" width="14.28515625" style="29" customWidth="1"/>
    <col min="7" max="7" width="13.140625" style="29" customWidth="1"/>
    <col min="8" max="8" width="9.85546875" style="29" customWidth="1"/>
    <col min="9" max="10" width="9.140625" style="29" customWidth="1"/>
    <col min="11" max="16384" width="9.140625" style="29"/>
  </cols>
  <sheetData>
    <row r="1" spans="1:8" ht="15.75" x14ac:dyDescent="0.25">
      <c r="B1" s="26" t="s">
        <v>15</v>
      </c>
      <c r="C1" s="26"/>
      <c r="D1" s="26"/>
      <c r="E1" s="27" t="s">
        <v>167</v>
      </c>
      <c r="F1" s="27" t="s">
        <v>168</v>
      </c>
      <c r="G1" s="27"/>
      <c r="H1" s="1"/>
    </row>
    <row r="2" spans="1:8" ht="39" customHeight="1" x14ac:dyDescent="0.25">
      <c r="B2" s="152" t="s">
        <v>173</v>
      </c>
      <c r="C2" s="152"/>
      <c r="D2" s="152"/>
      <c r="E2" s="99" t="s">
        <v>160</v>
      </c>
      <c r="F2" s="170" t="s">
        <v>161</v>
      </c>
      <c r="G2" s="170"/>
      <c r="H2" s="1"/>
    </row>
    <row r="3" spans="1:8" ht="25.5" customHeight="1" x14ac:dyDescent="0.25">
      <c r="B3" s="152"/>
      <c r="C3" s="152"/>
      <c r="D3" s="152"/>
      <c r="E3" s="28"/>
      <c r="F3" s="170"/>
      <c r="G3" s="170"/>
      <c r="H3" s="1"/>
    </row>
    <row r="4" spans="1:8" ht="23.25" customHeight="1" x14ac:dyDescent="0.25">
      <c r="B4" s="27" t="s">
        <v>166</v>
      </c>
      <c r="C4" s="27"/>
      <c r="D4" s="27"/>
      <c r="E4" s="27"/>
      <c r="F4" s="27" t="s">
        <v>169</v>
      </c>
      <c r="G4" s="27"/>
      <c r="H4" s="1"/>
    </row>
    <row r="5" spans="1:8" ht="21.75" customHeight="1" x14ac:dyDescent="0.25">
      <c r="B5" s="26" t="s">
        <v>170</v>
      </c>
      <c r="C5" s="26"/>
      <c r="D5" s="26"/>
      <c r="E5" s="27"/>
      <c r="F5" s="103" t="s">
        <v>203</v>
      </c>
      <c r="G5" s="27"/>
      <c r="H5" s="1"/>
    </row>
    <row r="6" spans="1:8" ht="15.75" x14ac:dyDescent="0.25">
      <c r="B6" s="26"/>
      <c r="C6" s="26"/>
      <c r="D6" s="26"/>
      <c r="E6" s="27"/>
      <c r="F6" s="27"/>
      <c r="G6" s="27"/>
      <c r="H6" s="1"/>
    </row>
    <row r="7" spans="1:8" ht="24" customHeight="1" x14ac:dyDescent="0.3">
      <c r="A7" s="153" t="s">
        <v>45</v>
      </c>
      <c r="B7" s="153"/>
      <c r="C7" s="153"/>
      <c r="D7" s="153"/>
      <c r="E7" s="153"/>
      <c r="F7" s="153"/>
      <c r="G7" s="153"/>
      <c r="H7" s="153"/>
    </row>
    <row r="8" spans="1:8" ht="24" customHeight="1" x14ac:dyDescent="0.3">
      <c r="A8" s="153" t="s">
        <v>172</v>
      </c>
      <c r="B8" s="153"/>
      <c r="C8" s="153"/>
      <c r="D8" s="153"/>
      <c r="E8" s="153"/>
      <c r="F8" s="153"/>
      <c r="G8" s="153"/>
      <c r="H8" s="153"/>
    </row>
    <row r="9" spans="1:8" ht="18.75" x14ac:dyDescent="0.3">
      <c r="A9" s="137"/>
      <c r="B9" s="165" t="s">
        <v>133</v>
      </c>
      <c r="C9" s="165"/>
      <c r="D9" s="165"/>
      <c r="E9" s="165"/>
      <c r="F9" s="165"/>
      <c r="G9" s="165"/>
      <c r="H9" s="137"/>
    </row>
    <row r="10" spans="1:8" ht="19.5" customHeight="1" x14ac:dyDescent="0.3">
      <c r="A10" s="137"/>
      <c r="B10" s="187" t="s">
        <v>171</v>
      </c>
      <c r="C10" s="187"/>
      <c r="D10" s="187"/>
      <c r="E10" s="187"/>
      <c r="F10" s="187"/>
      <c r="G10" s="187"/>
      <c r="H10" s="137"/>
    </row>
    <row r="11" spans="1:8" s="62" customFormat="1" ht="6.75" customHeight="1" x14ac:dyDescent="0.3">
      <c r="A11" s="139"/>
      <c r="B11" s="143"/>
      <c r="C11" s="143"/>
      <c r="D11" s="143"/>
      <c r="E11" s="143"/>
      <c r="F11" s="143"/>
      <c r="G11" s="143"/>
      <c r="H11" s="139"/>
    </row>
    <row r="12" spans="1:8" ht="30" x14ac:dyDescent="0.3">
      <c r="B12" s="174"/>
      <c r="C12" s="174"/>
      <c r="D12" s="174"/>
      <c r="E12" s="174"/>
      <c r="F12" s="53" t="s">
        <v>12</v>
      </c>
      <c r="G12" s="54" t="s">
        <v>13</v>
      </c>
    </row>
    <row r="13" spans="1:8" ht="15.75" hidden="1" customHeight="1" x14ac:dyDescent="0.25">
      <c r="B13" s="6" t="s">
        <v>10</v>
      </c>
      <c r="C13" s="6"/>
      <c r="D13" s="6"/>
      <c r="E13" s="6"/>
      <c r="F13" s="55"/>
      <c r="G13" s="56">
        <v>1014070</v>
      </c>
    </row>
    <row r="14" spans="1:8" ht="15.75" hidden="1" customHeight="1" x14ac:dyDescent="0.25">
      <c r="B14" s="6" t="s">
        <v>43</v>
      </c>
      <c r="C14" s="6"/>
      <c r="D14" s="6"/>
      <c r="E14" s="6"/>
      <c r="F14" s="57">
        <v>0.10100000000000001</v>
      </c>
      <c r="G14" s="56"/>
    </row>
    <row r="15" spans="1:8" ht="15.75" customHeight="1" x14ac:dyDescent="0.25">
      <c r="B15" s="178" t="s">
        <v>46</v>
      </c>
      <c r="C15" s="179"/>
      <c r="D15" s="179"/>
      <c r="E15" s="180"/>
      <c r="F15" s="3" t="s">
        <v>3</v>
      </c>
      <c r="G15" s="100">
        <f>G16*8</f>
        <v>184</v>
      </c>
    </row>
    <row r="16" spans="1:8" ht="15.75" customHeight="1" x14ac:dyDescent="0.25">
      <c r="B16" s="181"/>
      <c r="C16" s="182"/>
      <c r="D16" s="182"/>
      <c r="E16" s="183"/>
      <c r="F16" s="3" t="s">
        <v>4</v>
      </c>
      <c r="G16" s="100">
        <v>23</v>
      </c>
    </row>
    <row r="17" spans="2:7" ht="29.25" customHeight="1" x14ac:dyDescent="0.25">
      <c r="B17" s="140" t="s">
        <v>47</v>
      </c>
      <c r="C17" s="141"/>
      <c r="D17" s="141"/>
      <c r="E17" s="142"/>
      <c r="F17" s="55" t="s">
        <v>254</v>
      </c>
      <c r="G17" s="100">
        <f>G16*7</f>
        <v>161</v>
      </c>
    </row>
    <row r="18" spans="2:7" ht="15.75" x14ac:dyDescent="0.25">
      <c r="B18" s="164" t="s">
        <v>48</v>
      </c>
      <c r="C18" s="164"/>
      <c r="D18" s="164"/>
      <c r="E18" s="164"/>
      <c r="F18" s="56"/>
      <c r="G18" s="100">
        <v>4</v>
      </c>
    </row>
    <row r="19" spans="2:7" ht="15.75" x14ac:dyDescent="0.25">
      <c r="B19" s="175" t="s">
        <v>196</v>
      </c>
      <c r="C19" s="176"/>
      <c r="D19" s="176"/>
      <c r="E19" s="177"/>
      <c r="F19" s="56"/>
      <c r="G19" s="100">
        <f>G17*G18</f>
        <v>644</v>
      </c>
    </row>
    <row r="20" spans="2:7" ht="15.75" x14ac:dyDescent="0.25">
      <c r="B20" s="138" t="s">
        <v>191</v>
      </c>
      <c r="C20" s="138"/>
      <c r="D20" s="138"/>
      <c r="E20" s="138"/>
      <c r="F20" s="3"/>
      <c r="G20" s="100">
        <v>8</v>
      </c>
    </row>
    <row r="21" spans="2:7" ht="15.75" x14ac:dyDescent="0.25">
      <c r="B21" s="158" t="s">
        <v>49</v>
      </c>
      <c r="C21" s="159"/>
      <c r="D21" s="159"/>
      <c r="E21" s="160"/>
      <c r="F21" s="3"/>
      <c r="G21" s="100">
        <f>G17*G20</f>
        <v>1288</v>
      </c>
    </row>
    <row r="22" spans="2:7" ht="15.75" hidden="1" customHeight="1" x14ac:dyDescent="0.25">
      <c r="B22" s="6" t="s">
        <v>35</v>
      </c>
      <c r="C22" s="6"/>
      <c r="D22" s="6"/>
      <c r="E22" s="6"/>
      <c r="F22" s="56"/>
      <c r="G22" s="101">
        <f>G13*G14%</f>
        <v>0</v>
      </c>
    </row>
    <row r="23" spans="2:7" ht="28.5" customHeight="1" x14ac:dyDescent="0.25">
      <c r="B23" s="161"/>
      <c r="C23" s="162"/>
      <c r="D23" s="162"/>
      <c r="E23" s="163"/>
      <c r="F23" s="55" t="s">
        <v>51</v>
      </c>
      <c r="G23" s="101"/>
    </row>
    <row r="24" spans="2:7" ht="15.75" x14ac:dyDescent="0.25">
      <c r="B24" s="6" t="s">
        <v>201</v>
      </c>
      <c r="C24" s="6"/>
      <c r="D24" s="6"/>
      <c r="E24" s="6"/>
      <c r="F24" s="58">
        <f>SUM(F25:F29)</f>
        <v>133.99236097499997</v>
      </c>
      <c r="G24" s="102">
        <f>F24*G15</f>
        <v>24654.594419399993</v>
      </c>
    </row>
    <row r="25" spans="2:7" ht="15.75" x14ac:dyDescent="0.25">
      <c r="B25" s="6" t="s">
        <v>202</v>
      </c>
      <c r="C25" s="6"/>
      <c r="D25" s="6"/>
      <c r="E25" s="6"/>
      <c r="F25" s="58">
        <v>69.41</v>
      </c>
      <c r="G25" s="100"/>
    </row>
    <row r="26" spans="2:7" ht="15.75" x14ac:dyDescent="0.25">
      <c r="B26" s="6" t="s">
        <v>197</v>
      </c>
      <c r="C26" s="6"/>
      <c r="D26" s="6"/>
      <c r="E26" s="138"/>
      <c r="F26" s="58">
        <f>F25*25%</f>
        <v>17.352499999999999</v>
      </c>
      <c r="G26" s="100"/>
    </row>
    <row r="27" spans="2:7" ht="15.75" x14ac:dyDescent="0.25">
      <c r="B27" s="6" t="s">
        <v>198</v>
      </c>
      <c r="C27" s="6"/>
      <c r="D27" s="6"/>
      <c r="E27" s="6"/>
      <c r="F27" s="58">
        <f>F25*30%</f>
        <v>20.822999999999997</v>
      </c>
      <c r="G27" s="100"/>
    </row>
    <row r="28" spans="2:7" ht="15.75" x14ac:dyDescent="0.25">
      <c r="B28" s="6" t="s">
        <v>199</v>
      </c>
      <c r="C28" s="6"/>
      <c r="D28" s="6"/>
      <c r="E28" s="6"/>
      <c r="F28" s="58">
        <f>(F25+F26+F27)*15%</f>
        <v>16.137824999999996</v>
      </c>
      <c r="G28" s="100"/>
    </row>
    <row r="29" spans="2:7" ht="15.75" x14ac:dyDescent="0.25">
      <c r="B29" s="6" t="s">
        <v>200</v>
      </c>
      <c r="C29" s="6"/>
      <c r="D29" s="6"/>
      <c r="E29" s="6"/>
      <c r="F29" s="58">
        <f>(F25+F26+F27+F28)*8.3%</f>
        <v>10.269035974999998</v>
      </c>
      <c r="G29" s="100"/>
    </row>
    <row r="30" spans="2:7" ht="15.75" x14ac:dyDescent="0.25">
      <c r="B30" s="6" t="s">
        <v>195</v>
      </c>
      <c r="C30" s="6"/>
      <c r="D30" s="6"/>
      <c r="E30" s="6"/>
      <c r="F30" s="59">
        <v>0.30199999999999999</v>
      </c>
      <c r="G30" s="102">
        <f>G24*F30</f>
        <v>7445.6875146587972</v>
      </c>
    </row>
    <row r="31" spans="2:7" ht="15.75" x14ac:dyDescent="0.25">
      <c r="B31" s="6" t="s">
        <v>50</v>
      </c>
      <c r="C31" s="6"/>
      <c r="D31" s="6"/>
      <c r="E31" s="6"/>
      <c r="F31" s="3"/>
      <c r="G31" s="102">
        <f>G36+G38</f>
        <v>41417.704999999994</v>
      </c>
    </row>
    <row r="32" spans="2:7" ht="15.75" x14ac:dyDescent="0.25">
      <c r="B32" s="6" t="s">
        <v>194</v>
      </c>
      <c r="C32" s="6"/>
      <c r="D32" s="6"/>
      <c r="E32" s="6"/>
      <c r="F32" s="3">
        <v>46.5</v>
      </c>
      <c r="G32" s="100">
        <f>F32*G21/100</f>
        <v>598.91999999999996</v>
      </c>
    </row>
    <row r="33" spans="1:9" ht="15.75" x14ac:dyDescent="0.25">
      <c r="B33" s="6" t="s">
        <v>192</v>
      </c>
      <c r="C33" s="6"/>
      <c r="D33" s="6"/>
      <c r="E33" s="6"/>
      <c r="F33" s="3">
        <v>1.2</v>
      </c>
      <c r="G33" s="100">
        <f>F33*G17</f>
        <v>193.2</v>
      </c>
    </row>
    <row r="34" spans="1:9" ht="28.5" customHeight="1" x14ac:dyDescent="0.25">
      <c r="B34" s="167" t="s">
        <v>214</v>
      </c>
      <c r="C34" s="168"/>
      <c r="D34" s="168"/>
      <c r="E34" s="169"/>
      <c r="F34" s="106">
        <v>0.1545</v>
      </c>
      <c r="G34" s="100">
        <f>ROUND((G32+G33)*F34,2)</f>
        <v>122.38</v>
      </c>
      <c r="I34" s="29">
        <f>ROUND(((6*20)+(10*6))/12,2)</f>
        <v>15</v>
      </c>
    </row>
    <row r="35" spans="1:9" ht="15.75" x14ac:dyDescent="0.25">
      <c r="B35" s="140" t="s">
        <v>193</v>
      </c>
      <c r="C35" s="141"/>
      <c r="D35" s="141"/>
      <c r="E35" s="141"/>
      <c r="F35" s="60"/>
      <c r="G35" s="100">
        <f>G32+G33+G34</f>
        <v>914.49999999999989</v>
      </c>
    </row>
    <row r="36" spans="1:9" ht="27.75" customHeight="1" x14ac:dyDescent="0.25">
      <c r="B36" s="158" t="s">
        <v>215</v>
      </c>
      <c r="C36" s="159"/>
      <c r="D36" s="159"/>
      <c r="E36" s="160"/>
      <c r="F36" s="58">
        <v>35</v>
      </c>
      <c r="G36" s="100">
        <f>F36*G35</f>
        <v>32007.499999999996</v>
      </c>
    </row>
    <row r="37" spans="1:9" ht="34.5" customHeight="1" x14ac:dyDescent="0.25">
      <c r="B37" s="167" t="s">
        <v>216</v>
      </c>
      <c r="C37" s="168"/>
      <c r="D37" s="168"/>
      <c r="E37" s="169"/>
      <c r="F37" s="59">
        <v>2.9399999999999999E-2</v>
      </c>
      <c r="G37" s="100">
        <f>F37*G35</f>
        <v>26.886299999999995</v>
      </c>
    </row>
    <row r="38" spans="1:9" ht="31.5" customHeight="1" x14ac:dyDescent="0.25">
      <c r="B38" s="167" t="s">
        <v>217</v>
      </c>
      <c r="C38" s="168"/>
      <c r="D38" s="168"/>
      <c r="E38" s="169"/>
      <c r="F38" s="58">
        <v>350</v>
      </c>
      <c r="G38" s="100">
        <f>F38*G37</f>
        <v>9410.2049999999981</v>
      </c>
    </row>
    <row r="39" spans="1:9" ht="15.75" x14ac:dyDescent="0.25">
      <c r="B39" s="6" t="s">
        <v>256</v>
      </c>
      <c r="C39" s="6"/>
      <c r="D39" s="6"/>
      <c r="E39" s="6"/>
      <c r="F39" s="60">
        <v>0</v>
      </c>
      <c r="G39" s="102">
        <f>ROUND(1014070*F39,2)</f>
        <v>0</v>
      </c>
    </row>
    <row r="40" spans="1:9" ht="15.75" x14ac:dyDescent="0.25">
      <c r="B40" s="6" t="s">
        <v>257</v>
      </c>
      <c r="C40" s="6"/>
      <c r="D40" s="6"/>
      <c r="E40" s="6"/>
      <c r="F40" s="3"/>
      <c r="G40" s="102">
        <v>5360</v>
      </c>
    </row>
    <row r="41" spans="1:9" ht="15.75" x14ac:dyDescent="0.25">
      <c r="B41" s="6" t="s">
        <v>260</v>
      </c>
      <c r="C41" s="6"/>
      <c r="D41" s="6"/>
      <c r="E41" s="6"/>
      <c r="F41" s="3"/>
      <c r="G41" s="102">
        <f>G40+G39+G31+G30+G24</f>
        <v>78877.98693405879</v>
      </c>
    </row>
    <row r="42" spans="1:9" ht="15.75" x14ac:dyDescent="0.25">
      <c r="B42" s="6" t="s">
        <v>261</v>
      </c>
      <c r="C42" s="6"/>
      <c r="D42" s="6"/>
      <c r="E42" s="6"/>
      <c r="F42" s="60">
        <v>0.1</v>
      </c>
      <c r="G42" s="102">
        <f>ROUND(G41*F42,2)</f>
        <v>7887.8</v>
      </c>
    </row>
    <row r="43" spans="1:9" ht="15.75" x14ac:dyDescent="0.25">
      <c r="B43" s="6" t="s">
        <v>1</v>
      </c>
      <c r="C43" s="6"/>
      <c r="D43" s="6"/>
      <c r="E43" s="6"/>
      <c r="F43" s="3"/>
      <c r="G43" s="102">
        <f>G41+G42</f>
        <v>86765.786934058793</v>
      </c>
    </row>
    <row r="44" spans="1:9" ht="15.75" x14ac:dyDescent="0.25">
      <c r="B44" s="6" t="s">
        <v>258</v>
      </c>
      <c r="C44" s="6"/>
      <c r="D44" s="6"/>
      <c r="E44" s="6"/>
      <c r="F44" s="60">
        <v>0.1</v>
      </c>
      <c r="G44" s="102">
        <f>ROUND(G43*F44,2)</f>
        <v>8676.58</v>
      </c>
    </row>
    <row r="45" spans="1:9" ht="20.25" customHeight="1" x14ac:dyDescent="0.25">
      <c r="B45" s="4" t="s">
        <v>262</v>
      </c>
      <c r="C45" s="4"/>
      <c r="D45" s="6"/>
      <c r="E45" s="6"/>
      <c r="F45" s="3"/>
      <c r="G45" s="102">
        <f>G43+G44</f>
        <v>95442.366934058795</v>
      </c>
    </row>
    <row r="46" spans="1:9" ht="34.5" customHeight="1" x14ac:dyDescent="0.25">
      <c r="B46" s="184" t="s">
        <v>259</v>
      </c>
      <c r="C46" s="185"/>
      <c r="D46" s="185"/>
      <c r="E46" s="186"/>
      <c r="F46" s="56"/>
      <c r="G46" s="102">
        <f>ROUND(G45/G19,0)</f>
        <v>148</v>
      </c>
    </row>
    <row r="47" spans="1:9" ht="15.75" hidden="1" customHeight="1" x14ac:dyDescent="0.25">
      <c r="B47" s="171" t="s">
        <v>33</v>
      </c>
      <c r="C47" s="172"/>
      <c r="D47" s="172"/>
      <c r="E47" s="173"/>
      <c r="F47" s="61">
        <f>G31/G21</f>
        <v>32.156603260869559</v>
      </c>
      <c r="G47" s="61">
        <f>G31/G21</f>
        <v>32.156603260869559</v>
      </c>
    </row>
    <row r="48" spans="1:9" ht="15.75" customHeight="1" x14ac:dyDescent="0.25">
      <c r="A48" s="62"/>
      <c r="B48" s="31"/>
      <c r="C48" s="31"/>
      <c r="D48" s="31"/>
      <c r="E48" s="31"/>
      <c r="F48" s="31"/>
      <c r="G48" s="31"/>
    </row>
    <row r="49" spans="1:7" ht="15.75" customHeight="1" x14ac:dyDescent="0.25">
      <c r="A49" s="62"/>
      <c r="B49" s="24" t="s">
        <v>153</v>
      </c>
      <c r="C49" s="24"/>
      <c r="D49" s="24"/>
      <c r="E49" s="24"/>
      <c r="F49" s="62"/>
      <c r="G49" s="62" t="s">
        <v>154</v>
      </c>
    </row>
    <row r="50" spans="1:7" ht="15.75" x14ac:dyDescent="0.25">
      <c r="A50" s="62"/>
      <c r="B50" s="97" t="s">
        <v>152</v>
      </c>
      <c r="C50" s="24"/>
      <c r="D50" s="24"/>
      <c r="E50" s="24"/>
      <c r="F50" s="62"/>
      <c r="G50" s="62"/>
    </row>
  </sheetData>
  <mergeCells count="18">
    <mergeCell ref="B34:E34"/>
    <mergeCell ref="B10:G10"/>
    <mergeCell ref="B23:E23"/>
    <mergeCell ref="B36:E36"/>
    <mergeCell ref="B2:D3"/>
    <mergeCell ref="F2:G3"/>
    <mergeCell ref="B47:E47"/>
    <mergeCell ref="A7:H7"/>
    <mergeCell ref="A8:H8"/>
    <mergeCell ref="B12:E12"/>
    <mergeCell ref="B18:E18"/>
    <mergeCell ref="B21:E21"/>
    <mergeCell ref="B9:G9"/>
    <mergeCell ref="B19:E19"/>
    <mergeCell ref="B15:E16"/>
    <mergeCell ref="B46:E46"/>
    <mergeCell ref="B38:E38"/>
    <mergeCell ref="B37:E37"/>
  </mergeCells>
  <pageMargins left="0.39370078740157483" right="0.19685039370078741" top="0.27559055118110237" bottom="0.27559055118110237" header="0.27559055118110237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zoomScale="110" zoomScaleNormal="110" workbookViewId="0">
      <selection activeCell="F43" sqref="F43"/>
    </sheetView>
  </sheetViews>
  <sheetFormatPr defaultRowHeight="15" x14ac:dyDescent="0.25"/>
  <cols>
    <col min="1" max="1" width="3.42578125" style="29" customWidth="1"/>
    <col min="2" max="2" width="9.140625" style="29"/>
    <col min="3" max="3" width="7.5703125" style="29" customWidth="1"/>
    <col min="4" max="4" width="7.85546875" style="29" customWidth="1"/>
    <col min="5" max="5" width="38" style="29" customWidth="1"/>
    <col min="6" max="6" width="15.28515625" style="29" customWidth="1"/>
    <col min="7" max="7" width="14.5703125" style="29" customWidth="1"/>
    <col min="8" max="16384" width="9.140625" style="29"/>
  </cols>
  <sheetData>
    <row r="1" spans="1:9" ht="0.75" customHeight="1" x14ac:dyDescent="0.3">
      <c r="B1" s="35"/>
    </row>
    <row r="2" spans="1:9" ht="15.75" x14ac:dyDescent="0.25">
      <c r="A2" s="194" t="s">
        <v>15</v>
      </c>
      <c r="B2" s="194"/>
      <c r="C2" s="194"/>
      <c r="D2" s="194"/>
      <c r="E2" s="12" t="s">
        <v>63</v>
      </c>
      <c r="F2" s="12"/>
      <c r="G2" s="12"/>
      <c r="H2" s="12"/>
      <c r="I2" s="30"/>
    </row>
    <row r="3" spans="1:9" ht="33" customHeight="1" x14ac:dyDescent="0.25">
      <c r="A3" s="152" t="s">
        <v>174</v>
      </c>
      <c r="B3" s="152"/>
      <c r="C3" s="152"/>
      <c r="D3" s="152"/>
      <c r="E3" s="99" t="s">
        <v>160</v>
      </c>
      <c r="F3" s="152" t="s">
        <v>161</v>
      </c>
      <c r="G3" s="152"/>
      <c r="H3" s="12"/>
      <c r="I3" s="30"/>
    </row>
    <row r="4" spans="1:9" ht="32.25" customHeight="1" x14ac:dyDescent="0.25">
      <c r="A4" s="152"/>
      <c r="B4" s="152"/>
      <c r="C4" s="152"/>
      <c r="D4" s="152"/>
      <c r="E4" s="28"/>
      <c r="F4" s="1" t="s">
        <v>165</v>
      </c>
      <c r="G4" s="28"/>
      <c r="H4" s="12"/>
      <c r="I4" s="30"/>
    </row>
    <row r="5" spans="1:9" ht="15.75" x14ac:dyDescent="0.25">
      <c r="A5" s="1" t="s">
        <v>162</v>
      </c>
      <c r="C5" s="1"/>
      <c r="D5" s="1"/>
      <c r="E5" s="12"/>
      <c r="F5" s="12" t="s">
        <v>164</v>
      </c>
      <c r="G5" s="12"/>
      <c r="H5" s="12"/>
      <c r="I5" s="30"/>
    </row>
    <row r="6" spans="1:9" ht="15.75" x14ac:dyDescent="0.25">
      <c r="A6" s="12" t="s">
        <v>151</v>
      </c>
      <c r="C6" s="12"/>
      <c r="D6" s="12"/>
      <c r="E6" s="12" t="s">
        <v>163</v>
      </c>
      <c r="G6" s="12"/>
      <c r="H6" s="12"/>
      <c r="I6" s="30"/>
    </row>
    <row r="7" spans="1:9" ht="15.75" x14ac:dyDescent="0.25">
      <c r="A7" s="1"/>
      <c r="B7" s="1"/>
      <c r="C7" s="1"/>
      <c r="D7" s="1"/>
      <c r="E7" s="12"/>
      <c r="F7" s="12"/>
      <c r="G7" s="12"/>
      <c r="H7" s="1"/>
    </row>
    <row r="8" spans="1:9" ht="18.75" customHeight="1" x14ac:dyDescent="0.25">
      <c r="A8" s="194" t="s">
        <v>53</v>
      </c>
      <c r="B8" s="194"/>
      <c r="C8" s="194"/>
      <c r="D8" s="194"/>
      <c r="E8" s="194"/>
      <c r="F8" s="194"/>
      <c r="G8" s="194"/>
      <c r="H8" s="12"/>
    </row>
    <row r="9" spans="1:9" ht="15" customHeight="1" x14ac:dyDescent="0.25">
      <c r="A9" s="195" t="s">
        <v>73</v>
      </c>
      <c r="B9" s="195"/>
      <c r="C9" s="195"/>
      <c r="D9" s="195"/>
      <c r="E9" s="195"/>
      <c r="F9" s="195"/>
      <c r="G9" s="195"/>
      <c r="H9" s="12"/>
    </row>
    <row r="10" spans="1:9" ht="17.25" customHeight="1" x14ac:dyDescent="0.25">
      <c r="A10" s="157" t="s">
        <v>134</v>
      </c>
      <c r="B10" s="157"/>
      <c r="C10" s="157"/>
      <c r="D10" s="157"/>
      <c r="E10" s="157"/>
      <c r="F10" s="157"/>
      <c r="G10" s="157"/>
      <c r="H10" s="1"/>
    </row>
    <row r="11" spans="1:9" ht="17.25" customHeight="1" x14ac:dyDescent="0.25">
      <c r="A11" s="196" t="s">
        <v>54</v>
      </c>
      <c r="B11" s="196"/>
      <c r="C11" s="196"/>
      <c r="D11" s="196"/>
      <c r="E11" s="196"/>
      <c r="F11" s="196"/>
      <c r="G11" s="196"/>
      <c r="H11" s="1"/>
    </row>
    <row r="12" spans="1:9" ht="26.25" customHeight="1" x14ac:dyDescent="0.25">
      <c r="A12" s="6"/>
      <c r="B12" s="154"/>
      <c r="C12" s="155"/>
      <c r="D12" s="155"/>
      <c r="E12" s="156"/>
      <c r="F12" s="39" t="s">
        <v>12</v>
      </c>
      <c r="G12" s="4" t="s">
        <v>13</v>
      </c>
      <c r="H12" s="1"/>
    </row>
    <row r="13" spans="1:9" ht="16.5" customHeight="1" x14ac:dyDescent="0.25">
      <c r="A13" s="6">
        <v>1</v>
      </c>
      <c r="B13" s="6" t="s">
        <v>205</v>
      </c>
      <c r="C13" s="6"/>
      <c r="D13" s="6"/>
      <c r="E13" s="6"/>
      <c r="F13" s="40"/>
      <c r="G13" s="104">
        <v>1014070</v>
      </c>
      <c r="H13" s="1"/>
    </row>
    <row r="14" spans="1:9" ht="15.75" customHeight="1" x14ac:dyDescent="0.25">
      <c r="A14" s="6">
        <v>2</v>
      </c>
      <c r="B14" s="6" t="s">
        <v>263</v>
      </c>
      <c r="C14" s="14"/>
      <c r="D14" s="6"/>
      <c r="E14" s="6"/>
      <c r="F14" s="46">
        <v>0.10100000000000001</v>
      </c>
      <c r="G14" s="104">
        <v>10.1</v>
      </c>
      <c r="H14" s="1"/>
    </row>
    <row r="15" spans="1:9" ht="15" customHeight="1" x14ac:dyDescent="0.25">
      <c r="A15" s="6">
        <v>3</v>
      </c>
      <c r="B15" s="6" t="s">
        <v>204</v>
      </c>
      <c r="C15" s="6"/>
      <c r="D15" s="37"/>
      <c r="E15" s="38"/>
      <c r="F15" s="14" t="s">
        <v>3</v>
      </c>
      <c r="G15" s="104">
        <v>1400</v>
      </c>
      <c r="H15" s="1"/>
    </row>
    <row r="16" spans="1:9" ht="12.75" customHeight="1" x14ac:dyDescent="0.25">
      <c r="A16" s="6">
        <v>4</v>
      </c>
      <c r="B16" s="161"/>
      <c r="C16" s="162"/>
      <c r="D16" s="162"/>
      <c r="E16" s="162"/>
      <c r="F16" s="14" t="s">
        <v>4</v>
      </c>
      <c r="G16" s="104">
        <v>175</v>
      </c>
      <c r="H16" s="1"/>
    </row>
    <row r="17" spans="1:8" ht="15" customHeight="1" x14ac:dyDescent="0.25">
      <c r="A17" s="6">
        <v>5</v>
      </c>
      <c r="B17" s="36" t="s">
        <v>64</v>
      </c>
      <c r="C17" s="36"/>
      <c r="D17" s="36"/>
      <c r="E17" s="36"/>
      <c r="F17" s="14" t="s">
        <v>11</v>
      </c>
      <c r="G17" s="104">
        <f>G16*4</f>
        <v>700</v>
      </c>
      <c r="H17" s="1"/>
    </row>
    <row r="18" spans="1:8" ht="13.5" customHeight="1" x14ac:dyDescent="0.25">
      <c r="A18" s="6">
        <v>6</v>
      </c>
      <c r="B18" s="158" t="s">
        <v>6</v>
      </c>
      <c r="C18" s="159"/>
      <c r="D18" s="159"/>
      <c r="E18" s="160"/>
      <c r="F18" s="14"/>
      <c r="G18" s="104">
        <v>5</v>
      </c>
      <c r="H18" s="1"/>
    </row>
    <row r="19" spans="1:8" ht="15.75" customHeight="1" x14ac:dyDescent="0.25">
      <c r="A19" s="6">
        <v>7</v>
      </c>
      <c r="B19" s="167" t="s">
        <v>61</v>
      </c>
      <c r="C19" s="168"/>
      <c r="D19" s="168"/>
      <c r="E19" s="169"/>
      <c r="F19" s="22"/>
      <c r="G19" s="104">
        <f>G17*G18</f>
        <v>3500</v>
      </c>
      <c r="H19" s="1"/>
    </row>
    <row r="20" spans="1:8" ht="15" customHeight="1" x14ac:dyDescent="0.25">
      <c r="A20" s="6">
        <v>8</v>
      </c>
      <c r="B20" s="36" t="s">
        <v>7</v>
      </c>
      <c r="C20" s="36"/>
      <c r="D20" s="36"/>
      <c r="E20" s="36"/>
      <c r="F20" s="22"/>
      <c r="G20" s="104">
        <v>16</v>
      </c>
      <c r="H20" s="1"/>
    </row>
    <row r="21" spans="1:8" ht="15" customHeight="1" x14ac:dyDescent="0.25">
      <c r="A21" s="6">
        <v>9</v>
      </c>
      <c r="B21" s="158" t="s">
        <v>62</v>
      </c>
      <c r="C21" s="159"/>
      <c r="D21" s="159"/>
      <c r="E21" s="160"/>
      <c r="F21" s="22"/>
      <c r="G21" s="104">
        <f>G17*G20</f>
        <v>11200</v>
      </c>
      <c r="H21" s="1"/>
    </row>
    <row r="22" spans="1:8" ht="15.75" customHeight="1" x14ac:dyDescent="0.25">
      <c r="A22" s="6">
        <v>10</v>
      </c>
      <c r="B22" s="6" t="s">
        <v>208</v>
      </c>
      <c r="C22" s="6"/>
      <c r="D22" s="6"/>
      <c r="E22" s="6"/>
      <c r="F22" s="22"/>
      <c r="G22" s="105">
        <v>101407</v>
      </c>
      <c r="H22" s="1"/>
    </row>
    <row r="23" spans="1:8" ht="14.25" customHeight="1" x14ac:dyDescent="0.25">
      <c r="A23" s="6"/>
      <c r="B23" s="161"/>
      <c r="C23" s="162"/>
      <c r="D23" s="162"/>
      <c r="E23" s="163"/>
      <c r="F23" s="14" t="s">
        <v>72</v>
      </c>
      <c r="G23" s="105"/>
      <c r="H23" s="1"/>
    </row>
    <row r="24" spans="1:8" ht="18" customHeight="1" x14ac:dyDescent="0.25">
      <c r="A24" s="6">
        <v>11</v>
      </c>
      <c r="B24" s="6" t="s">
        <v>209</v>
      </c>
      <c r="C24" s="6"/>
      <c r="D24" s="6"/>
      <c r="E24" s="6"/>
      <c r="F24" s="41">
        <f>SUM(F25:F29)</f>
        <v>133.99236097499997</v>
      </c>
      <c r="G24" s="105">
        <f>F24*G15</f>
        <v>187589.30536499995</v>
      </c>
      <c r="H24" s="1"/>
    </row>
    <row r="25" spans="1:8" ht="13.5" customHeight="1" x14ac:dyDescent="0.25">
      <c r="A25" s="6">
        <v>12</v>
      </c>
      <c r="B25" s="6" t="s">
        <v>8</v>
      </c>
      <c r="C25" s="6"/>
      <c r="D25" s="6"/>
      <c r="E25" s="6"/>
      <c r="F25" s="41">
        <v>69.41</v>
      </c>
      <c r="G25" s="104"/>
      <c r="H25" s="1"/>
    </row>
    <row r="26" spans="1:8" ht="14.25" customHeight="1" x14ac:dyDescent="0.25">
      <c r="A26" s="6">
        <v>13</v>
      </c>
      <c r="B26" s="6" t="s">
        <v>117</v>
      </c>
      <c r="C26" s="6"/>
      <c r="D26" s="6"/>
      <c r="E26" s="6"/>
      <c r="F26" s="41">
        <f>F25*25%</f>
        <v>17.352499999999999</v>
      </c>
      <c r="G26" s="104"/>
      <c r="H26" s="1"/>
    </row>
    <row r="27" spans="1:8" ht="12.75" customHeight="1" x14ac:dyDescent="0.25">
      <c r="A27" s="6">
        <v>14</v>
      </c>
      <c r="B27" s="6" t="s">
        <v>135</v>
      </c>
      <c r="C27" s="6"/>
      <c r="D27" s="6"/>
      <c r="E27" s="6"/>
      <c r="F27" s="41">
        <f>F25*30%</f>
        <v>20.822999999999997</v>
      </c>
      <c r="G27" s="104"/>
      <c r="H27" s="1"/>
    </row>
    <row r="28" spans="1:8" ht="14.25" customHeight="1" x14ac:dyDescent="0.25">
      <c r="A28" s="6">
        <v>15</v>
      </c>
      <c r="B28" s="6" t="s">
        <v>206</v>
      </c>
      <c r="C28" s="6"/>
      <c r="D28" s="6"/>
      <c r="E28" s="6"/>
      <c r="F28" s="41">
        <f>(F25+F26+F27)*15%</f>
        <v>16.137824999999996</v>
      </c>
      <c r="G28" s="104"/>
      <c r="H28" s="1"/>
    </row>
    <row r="29" spans="1:8" ht="14.25" customHeight="1" x14ac:dyDescent="0.25">
      <c r="A29" s="6">
        <v>16</v>
      </c>
      <c r="B29" s="6" t="s">
        <v>207</v>
      </c>
      <c r="C29" s="6"/>
      <c r="D29" s="6"/>
      <c r="E29" s="6"/>
      <c r="F29" s="41">
        <f>(F25+F26+F27+F28)*8.3%</f>
        <v>10.269035974999998</v>
      </c>
      <c r="G29" s="104"/>
      <c r="H29" s="1"/>
    </row>
    <row r="30" spans="1:8" ht="16.5" customHeight="1" x14ac:dyDescent="0.25">
      <c r="A30" s="6">
        <v>17</v>
      </c>
      <c r="B30" s="6" t="s">
        <v>210</v>
      </c>
      <c r="C30" s="6"/>
      <c r="D30" s="6"/>
      <c r="E30" s="6"/>
      <c r="F30" s="43">
        <v>0.30199999999999999</v>
      </c>
      <c r="G30" s="105">
        <f>G24*F30</f>
        <v>56651.970220229981</v>
      </c>
      <c r="H30" s="1"/>
    </row>
    <row r="31" spans="1:8" ht="14.25" customHeight="1" x14ac:dyDescent="0.25">
      <c r="A31" s="6">
        <v>18</v>
      </c>
      <c r="B31" s="6" t="s">
        <v>211</v>
      </c>
      <c r="C31" s="6"/>
      <c r="D31" s="6"/>
      <c r="E31" s="6"/>
      <c r="F31" s="22"/>
      <c r="G31" s="105">
        <f>G36+G38</f>
        <v>314027.28000000003</v>
      </c>
      <c r="H31" s="1"/>
    </row>
    <row r="32" spans="1:8" ht="15" customHeight="1" x14ac:dyDescent="0.25">
      <c r="A32" s="6">
        <v>19</v>
      </c>
      <c r="B32" s="36" t="s">
        <v>212</v>
      </c>
      <c r="C32" s="36"/>
      <c r="D32" s="36"/>
      <c r="E32" s="44"/>
      <c r="F32" s="45">
        <v>46.5</v>
      </c>
      <c r="G32" s="104">
        <f>F32*G21/100</f>
        <v>5208</v>
      </c>
      <c r="H32" s="1"/>
    </row>
    <row r="33" spans="1:9" ht="13.5" customHeight="1" x14ac:dyDescent="0.25">
      <c r="A33" s="6">
        <v>20</v>
      </c>
      <c r="B33" s="36" t="s">
        <v>213</v>
      </c>
      <c r="C33" s="36"/>
      <c r="D33" s="36"/>
      <c r="E33" s="36"/>
      <c r="F33" s="14">
        <v>1.2</v>
      </c>
      <c r="G33" s="104">
        <f>F33*G17</f>
        <v>840</v>
      </c>
      <c r="H33" s="1"/>
    </row>
    <row r="34" spans="1:9" ht="45.75" customHeight="1" x14ac:dyDescent="0.25">
      <c r="A34" s="6">
        <v>21</v>
      </c>
      <c r="B34" s="167" t="s">
        <v>232</v>
      </c>
      <c r="C34" s="168"/>
      <c r="D34" s="168"/>
      <c r="E34" s="169"/>
      <c r="F34" s="43">
        <v>0.15</v>
      </c>
      <c r="G34" s="104">
        <f>(G32+G33)*15%</f>
        <v>907.19999999999993</v>
      </c>
      <c r="H34" s="1"/>
    </row>
    <row r="35" spans="1:9" ht="15.75" customHeight="1" x14ac:dyDescent="0.25">
      <c r="A35" s="6">
        <v>22</v>
      </c>
      <c r="B35" s="167" t="s">
        <v>218</v>
      </c>
      <c r="C35" s="168"/>
      <c r="D35" s="168"/>
      <c r="E35" s="169"/>
      <c r="F35" s="46"/>
      <c r="G35" s="104">
        <f>G32+G33+G34</f>
        <v>6955.2</v>
      </c>
      <c r="H35" s="1"/>
    </row>
    <row r="36" spans="1:9" ht="15.75" customHeight="1" x14ac:dyDescent="0.25">
      <c r="A36" s="6">
        <v>23</v>
      </c>
      <c r="B36" s="167" t="s">
        <v>231</v>
      </c>
      <c r="C36" s="168"/>
      <c r="D36" s="168"/>
      <c r="E36" s="169"/>
      <c r="F36" s="41">
        <v>35</v>
      </c>
      <c r="G36" s="104">
        <f>F36*G35</f>
        <v>243432</v>
      </c>
      <c r="H36" s="1"/>
    </row>
    <row r="37" spans="1:9" ht="31.5" customHeight="1" x14ac:dyDescent="0.25">
      <c r="A37" s="6">
        <v>24</v>
      </c>
      <c r="B37" s="167" t="s">
        <v>230</v>
      </c>
      <c r="C37" s="168"/>
      <c r="D37" s="168"/>
      <c r="E37" s="169"/>
      <c r="F37" s="43">
        <v>2.9000000000000001E-2</v>
      </c>
      <c r="G37" s="104">
        <f>F37*G35</f>
        <v>201.70080000000002</v>
      </c>
      <c r="H37" s="1"/>
    </row>
    <row r="38" spans="1:9" ht="16.5" customHeight="1" x14ac:dyDescent="0.25">
      <c r="A38" s="6">
        <v>25</v>
      </c>
      <c r="B38" s="167" t="s">
        <v>229</v>
      </c>
      <c r="C38" s="168"/>
      <c r="D38" s="168"/>
      <c r="E38" s="169"/>
      <c r="F38" s="41">
        <v>350</v>
      </c>
      <c r="G38" s="104">
        <f>F38*G37</f>
        <v>70595.28</v>
      </c>
      <c r="H38" s="1"/>
    </row>
    <row r="39" spans="1:9" ht="30.75" customHeight="1" x14ac:dyDescent="0.25">
      <c r="A39" s="6">
        <v>26</v>
      </c>
      <c r="B39" s="188" t="s">
        <v>228</v>
      </c>
      <c r="C39" s="192"/>
      <c r="D39" s="192"/>
      <c r="E39" s="193"/>
      <c r="F39" s="46">
        <v>0.3</v>
      </c>
      <c r="G39" s="105">
        <f>ROUND(G13*F39,2)</f>
        <v>304221</v>
      </c>
      <c r="H39" s="1"/>
    </row>
    <row r="40" spans="1:9" ht="15.75" customHeight="1" x14ac:dyDescent="0.25">
      <c r="A40" s="6">
        <v>27</v>
      </c>
      <c r="B40" s="167" t="s">
        <v>219</v>
      </c>
      <c r="C40" s="168"/>
      <c r="D40" s="168"/>
      <c r="E40" s="169"/>
      <c r="F40" s="22"/>
      <c r="G40" s="144">
        <v>5360</v>
      </c>
      <c r="H40" s="1"/>
    </row>
    <row r="41" spans="1:9" ht="31.5" customHeight="1" x14ac:dyDescent="0.25">
      <c r="A41" s="6">
        <v>28</v>
      </c>
      <c r="B41" s="188" t="s">
        <v>227</v>
      </c>
      <c r="C41" s="189"/>
      <c r="D41" s="189"/>
      <c r="E41" s="190"/>
      <c r="F41" s="22"/>
      <c r="G41" s="105">
        <f>G40+G39+G31+G30+G24+G22</f>
        <v>969256.55558522989</v>
      </c>
      <c r="H41" s="1"/>
    </row>
    <row r="42" spans="1:9" ht="15.75" customHeight="1" x14ac:dyDescent="0.25">
      <c r="A42" s="6">
        <v>29</v>
      </c>
      <c r="B42" s="167" t="s">
        <v>224</v>
      </c>
      <c r="C42" s="168"/>
      <c r="D42" s="168"/>
      <c r="E42" s="169"/>
      <c r="F42" s="46">
        <v>0.1</v>
      </c>
      <c r="G42" s="105">
        <f>G41*F42</f>
        <v>96925.655558522994</v>
      </c>
      <c r="H42" s="1"/>
    </row>
    <row r="43" spans="1:9" ht="16.5" customHeight="1" x14ac:dyDescent="0.25">
      <c r="A43" s="6">
        <v>30</v>
      </c>
      <c r="B43" s="167" t="s">
        <v>223</v>
      </c>
      <c r="C43" s="168"/>
      <c r="D43" s="168"/>
      <c r="E43" s="169"/>
      <c r="F43" s="14"/>
      <c r="G43" s="105">
        <f>G41+G42</f>
        <v>1066182.2111437528</v>
      </c>
      <c r="H43" s="1"/>
    </row>
    <row r="44" spans="1:9" ht="16.5" customHeight="1" x14ac:dyDescent="0.25">
      <c r="A44" s="6">
        <v>31</v>
      </c>
      <c r="B44" s="167" t="s">
        <v>225</v>
      </c>
      <c r="C44" s="168"/>
      <c r="D44" s="168"/>
      <c r="E44" s="169"/>
      <c r="F44" s="46">
        <v>9.9900000000000003E-2</v>
      </c>
      <c r="G44" s="105">
        <f>G43*F44</f>
        <v>106511.6028932609</v>
      </c>
      <c r="H44" s="1"/>
    </row>
    <row r="45" spans="1:9" ht="18" customHeight="1" x14ac:dyDescent="0.25">
      <c r="A45" s="6">
        <v>32</v>
      </c>
      <c r="B45" s="167" t="s">
        <v>226</v>
      </c>
      <c r="C45" s="168"/>
      <c r="D45" s="168"/>
      <c r="E45" s="169"/>
      <c r="F45" s="46">
        <v>0.01</v>
      </c>
      <c r="G45" s="105">
        <f>(G43+G44)*F45</f>
        <v>11726.938140370139</v>
      </c>
      <c r="H45" s="1"/>
    </row>
    <row r="46" spans="1:9" ht="18" customHeight="1" x14ac:dyDescent="0.25">
      <c r="A46" s="6">
        <v>33</v>
      </c>
      <c r="B46" s="167" t="s">
        <v>222</v>
      </c>
      <c r="C46" s="168"/>
      <c r="D46" s="168"/>
      <c r="E46" s="169"/>
      <c r="F46" s="22"/>
      <c r="G46" s="105">
        <f>G43+G44+G45</f>
        <v>1184420.752177384</v>
      </c>
      <c r="H46" s="1"/>
    </row>
    <row r="47" spans="1:9" ht="30" customHeight="1" x14ac:dyDescent="0.25">
      <c r="A47" s="6">
        <v>34</v>
      </c>
      <c r="B47" s="184" t="s">
        <v>221</v>
      </c>
      <c r="C47" s="185"/>
      <c r="D47" s="185"/>
      <c r="E47" s="186"/>
      <c r="F47" s="22"/>
      <c r="G47" s="105">
        <f>ROUND(G46/G19,0)</f>
        <v>338</v>
      </c>
      <c r="H47" s="1"/>
    </row>
    <row r="48" spans="1:9" ht="29.25" customHeight="1" x14ac:dyDescent="0.25">
      <c r="A48" s="6">
        <v>35</v>
      </c>
      <c r="B48" s="191" t="s">
        <v>220</v>
      </c>
      <c r="C48" s="191"/>
      <c r="D48" s="191"/>
      <c r="E48" s="191"/>
      <c r="F48" s="42"/>
      <c r="G48" s="105">
        <f>ROUND(G31/G21,0)</f>
        <v>28</v>
      </c>
      <c r="H48" s="1"/>
      <c r="I48" s="47"/>
    </row>
    <row r="49" spans="1:9" ht="18" customHeight="1" x14ac:dyDescent="0.25">
      <c r="A49" s="24"/>
      <c r="B49" s="33"/>
      <c r="C49" s="33"/>
      <c r="D49" s="33"/>
      <c r="E49" s="33"/>
      <c r="F49" s="48"/>
      <c r="G49" s="48"/>
      <c r="H49" s="1"/>
      <c r="I49" s="47"/>
    </row>
    <row r="50" spans="1:9" ht="15.75" x14ac:dyDescent="0.25">
      <c r="A50" s="1"/>
      <c r="B50" s="24" t="s">
        <v>153</v>
      </c>
      <c r="C50" s="24"/>
      <c r="D50" s="24"/>
      <c r="E50" s="24"/>
      <c r="F50" s="62"/>
      <c r="G50" s="62" t="s">
        <v>154</v>
      </c>
      <c r="H50" s="1"/>
    </row>
    <row r="51" spans="1:9" ht="15.75" x14ac:dyDescent="0.25">
      <c r="A51" s="1"/>
      <c r="B51" s="24"/>
      <c r="C51" s="24"/>
      <c r="D51" s="24"/>
      <c r="E51" s="24"/>
      <c r="F51" s="24"/>
      <c r="G51" s="24"/>
      <c r="H51" s="1"/>
    </row>
    <row r="52" spans="1:9" ht="15.75" x14ac:dyDescent="0.25">
      <c r="A52" s="1"/>
      <c r="B52" s="1"/>
      <c r="C52" s="1"/>
      <c r="D52" s="1"/>
      <c r="E52" s="1"/>
      <c r="F52" s="1"/>
      <c r="G52" s="1"/>
      <c r="H52" s="1"/>
    </row>
    <row r="55" spans="1:9" x14ac:dyDescent="0.25">
      <c r="E55" s="47"/>
    </row>
    <row r="65" spans="8:8" x14ac:dyDescent="0.25">
      <c r="H65" s="30"/>
    </row>
  </sheetData>
  <mergeCells count="28">
    <mergeCell ref="A8:G8"/>
    <mergeCell ref="A9:G9"/>
    <mergeCell ref="A10:G10"/>
    <mergeCell ref="A11:G11"/>
    <mergeCell ref="A2:D2"/>
    <mergeCell ref="A3:D4"/>
    <mergeCell ref="F3:G3"/>
    <mergeCell ref="B48:E48"/>
    <mergeCell ref="B21:E21"/>
    <mergeCell ref="B18:E18"/>
    <mergeCell ref="B46:E46"/>
    <mergeCell ref="B47:E47"/>
    <mergeCell ref="B39:E39"/>
    <mergeCell ref="B12:E12"/>
    <mergeCell ref="B16:E16"/>
    <mergeCell ref="B45:E45"/>
    <mergeCell ref="B23:E23"/>
    <mergeCell ref="B19:E19"/>
    <mergeCell ref="B34:E34"/>
    <mergeCell ref="B36:E36"/>
    <mergeCell ref="B38:E38"/>
    <mergeCell ref="B35:E35"/>
    <mergeCell ref="B37:E37"/>
    <mergeCell ref="B40:E40"/>
    <mergeCell ref="B41:E41"/>
    <mergeCell ref="B42:E42"/>
    <mergeCell ref="B43:E43"/>
    <mergeCell ref="B44:E44"/>
  </mergeCells>
  <pageMargins left="0.38" right="0.21" top="0.17" bottom="0.17" header="0.16" footer="0.17"/>
  <pageSetup paperSize="9" scale="9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Т-150</vt:lpstr>
      <vt:lpstr>Эксковатор</vt:lpstr>
      <vt:lpstr>ДТ-75</vt:lpstr>
      <vt:lpstr>МТЗ</vt:lpstr>
      <vt:lpstr>УАЗ</vt:lpstr>
      <vt:lpstr>кия</vt:lpstr>
      <vt:lpstr>КАМАЗ 5320</vt:lpstr>
      <vt:lpstr>жбо населен</vt:lpstr>
      <vt:lpstr>ЖБО для организаций</vt:lpstr>
      <vt:lpstr>услуги слесаря</vt:lpstr>
      <vt:lpstr>услуги слесаря (2)</vt:lpstr>
      <vt:lpstr>'жбо населен'!Область_печати</vt:lpstr>
      <vt:lpstr>'КАМАЗ 5320'!Область_печати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2022-12-23T09:26:06Z</dcterms:modified>
</cp:coreProperties>
</file>