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885" windowWidth="15120" windowHeight="7230" tabRatio="845" firstSheet="1" activeTab="1"/>
  </bookViews>
  <sheets>
    <sheet name="Т-150" sheetId="2" r:id="rId1"/>
    <sheet name="Эксковатор" sheetId="4" r:id="rId2"/>
    <sheet name="ДТ-75" sheetId="11" r:id="rId3"/>
    <sheet name="МТЗ" sheetId="14" r:id="rId4"/>
    <sheet name="УАЗ" sheetId="13" r:id="rId5"/>
    <sheet name="кия" sheetId="26" r:id="rId6"/>
    <sheet name="КАМАЗ 5320" sheetId="24" r:id="rId7"/>
    <sheet name="жбо населен" sheetId="9" r:id="rId8"/>
    <sheet name="ЖБО для организаций" sheetId="1" r:id="rId9"/>
    <sheet name="услуги слесаря" sheetId="12" r:id="rId10"/>
    <sheet name="услуги сварщика" sheetId="25" r:id="rId11"/>
    <sheet name="услуги токаря" sheetId="28" r:id="rId12"/>
    <sheet name="Лист1" sheetId="27" r:id="rId13"/>
  </sheets>
  <definedNames>
    <definedName name="_xlnm.Print_Area" localSheetId="7">'жбо населен'!$A$1:$F$49</definedName>
    <definedName name="_xlnm.Print_Area" localSheetId="6">'КАМАЗ 5320'!$A$1:$F$47</definedName>
  </definedNames>
  <calcPr calcId="145621"/>
</workbook>
</file>

<file path=xl/calcChain.xml><?xml version="1.0" encoding="utf-8"?>
<calcChain xmlns="http://schemas.openxmlformats.org/spreadsheetml/2006/main">
  <c r="I15" i="28" l="1"/>
  <c r="I16" i="28" s="1"/>
  <c r="I17" i="28" l="1"/>
  <c r="I18" i="28" s="1"/>
  <c r="I19" i="28" l="1"/>
  <c r="I14" i="28" s="1"/>
  <c r="I20" i="28" l="1"/>
  <c r="I21" i="28" s="1"/>
  <c r="I15" i="25"/>
  <c r="I16" i="12"/>
  <c r="F25" i="1"/>
  <c r="F26" i="1" s="1"/>
  <c r="E25" i="9"/>
  <c r="E28" i="9" s="1"/>
  <c r="E19" i="24"/>
  <c r="E17" i="26"/>
  <c r="E20" i="26" s="1"/>
  <c r="E17" i="13"/>
  <c r="E18" i="13" s="1"/>
  <c r="E19" i="14"/>
  <c r="E19" i="11"/>
  <c r="E20" i="11" s="1"/>
  <c r="E19" i="4"/>
  <c r="E18" i="2"/>
  <c r="E18" i="26"/>
  <c r="E20" i="13"/>
  <c r="E22" i="11"/>
  <c r="E22" i="4"/>
  <c r="E20" i="4"/>
  <c r="F28" i="1" l="1"/>
  <c r="I22" i="28"/>
  <c r="E26" i="9"/>
  <c r="F27" i="1"/>
  <c r="E27" i="9"/>
  <c r="E21" i="24"/>
  <c r="E20" i="24"/>
  <c r="E22" i="24"/>
  <c r="E19" i="26"/>
  <c r="E19" i="13"/>
  <c r="E21" i="14"/>
  <c r="E20" i="14"/>
  <c r="E22" i="14"/>
  <c r="E21" i="11"/>
  <c r="E21" i="4"/>
  <c r="I23" i="28" l="1"/>
  <c r="I24" i="28" s="1"/>
  <c r="F29" i="1"/>
  <c r="E29" i="9"/>
  <c r="E23" i="24"/>
  <c r="E24" i="24" s="1"/>
  <c r="E21" i="26"/>
  <c r="E22" i="26" s="1"/>
  <c r="E21" i="13"/>
  <c r="E22" i="13" s="1"/>
  <c r="E23" i="14"/>
  <c r="E24" i="14" s="1"/>
  <c r="E23" i="11"/>
  <c r="E24" i="11" s="1"/>
  <c r="E23" i="4"/>
  <c r="E24" i="4" s="1"/>
  <c r="E21" i="2" l="1"/>
  <c r="E20" i="2"/>
  <c r="E19" i="2"/>
  <c r="E22" i="2" l="1"/>
  <c r="E23" i="2" s="1"/>
  <c r="G39" i="1" l="1"/>
  <c r="F39" i="9"/>
  <c r="F25" i="26" l="1"/>
  <c r="F26" i="26" s="1"/>
  <c r="F15" i="26"/>
  <c r="F31" i="26" s="1"/>
  <c r="E16" i="26" l="1"/>
  <c r="F16" i="26" s="1"/>
  <c r="F27" i="26"/>
  <c r="F23" i="26" l="1"/>
  <c r="F28" i="26"/>
  <c r="F29" i="26"/>
  <c r="F30" i="26" s="1"/>
  <c r="F24" i="26" l="1"/>
  <c r="F33" i="26" s="1"/>
  <c r="F34" i="26" s="1"/>
  <c r="F35" i="26" s="1"/>
  <c r="F36" i="26" s="1"/>
  <c r="F37" i="26" l="1"/>
  <c r="F38" i="26" l="1"/>
  <c r="F39" i="26" s="1"/>
  <c r="F40" i="26" s="1"/>
  <c r="I16" i="25" l="1"/>
  <c r="I17" i="25" l="1"/>
  <c r="F33" i="24"/>
  <c r="F27" i="24"/>
  <c r="F17" i="24"/>
  <c r="F28" i="24" l="1"/>
  <c r="F29" i="24" s="1"/>
  <c r="I18" i="25"/>
  <c r="E18" i="24"/>
  <c r="F18" i="24" s="1"/>
  <c r="F25" i="24" s="1"/>
  <c r="F30" i="24" l="1"/>
  <c r="F31" i="24"/>
  <c r="F32" i="24" s="1"/>
  <c r="I19" i="25"/>
  <c r="I20" i="25" s="1"/>
  <c r="I14" i="25"/>
  <c r="F26" i="24"/>
  <c r="F35" i="24" l="1"/>
  <c r="F36" i="24" s="1"/>
  <c r="F37" i="24" s="1"/>
  <c r="F38" i="24" s="1"/>
  <c r="I21" i="25"/>
  <c r="I22" i="25" s="1"/>
  <c r="I23" i="25" l="1"/>
  <c r="I24" i="25" s="1"/>
  <c r="F39" i="24"/>
  <c r="F40" i="24" s="1"/>
  <c r="F41" i="24" s="1"/>
  <c r="F42" i="24" l="1"/>
  <c r="D14" i="27" s="1"/>
  <c r="F43" i="24"/>
  <c r="H41" i="24"/>
  <c r="H34" i="9" l="1"/>
  <c r="I17" i="12" l="1"/>
  <c r="I18" i="12" s="1"/>
  <c r="I19" i="12" l="1"/>
  <c r="I20" i="12" s="1"/>
  <c r="I15" i="12" l="1"/>
  <c r="F16" i="14" l="1"/>
  <c r="F17" i="11"/>
  <c r="F25" i="13" l="1"/>
  <c r="F26" i="13" s="1"/>
  <c r="F27" i="14" l="1"/>
  <c r="F29" i="14" s="1"/>
  <c r="F31" i="4"/>
  <c r="F16" i="4" l="1"/>
  <c r="F31" i="14" l="1"/>
  <c r="F28" i="14"/>
  <c r="F30" i="14"/>
  <c r="F26" i="14" l="1"/>
  <c r="F15" i="13"/>
  <c r="F31" i="13" s="1"/>
  <c r="E18" i="14" l="1"/>
  <c r="F18" i="14" s="1"/>
  <c r="F27" i="13"/>
  <c r="F28" i="13" s="1"/>
  <c r="F25" i="14" l="1"/>
  <c r="F29" i="13"/>
  <c r="F30" i="13" s="1"/>
  <c r="F24" i="13" s="1"/>
  <c r="F33" i="14" l="1"/>
  <c r="F34" i="14" s="1"/>
  <c r="F35" i="14" s="1"/>
  <c r="F36" i="14" s="1"/>
  <c r="F37" i="14" s="1"/>
  <c r="F38" i="14" s="1"/>
  <c r="E16" i="13"/>
  <c r="F16" i="13" s="1"/>
  <c r="F31" i="11"/>
  <c r="F30" i="2"/>
  <c r="F27" i="11"/>
  <c r="F16" i="11"/>
  <c r="F27" i="4"/>
  <c r="G17" i="1"/>
  <c r="F39" i="14" l="1"/>
  <c r="F40" i="14" s="1"/>
  <c r="F23" i="13"/>
  <c r="F33" i="13" l="1"/>
  <c r="F34" i="13" s="1"/>
  <c r="F35" i="13" s="1"/>
  <c r="F36" i="13" s="1"/>
  <c r="F37" i="13" s="1"/>
  <c r="I21" i="12"/>
  <c r="F15" i="2"/>
  <c r="F26" i="2"/>
  <c r="F28" i="2" s="1"/>
  <c r="F29" i="11"/>
  <c r="F30" i="11" s="1"/>
  <c r="I22" i="12" l="1"/>
  <c r="F38" i="13"/>
  <c r="F39" i="13" s="1"/>
  <c r="F40" i="13" s="1"/>
  <c r="D12" i="27" s="1"/>
  <c r="E12" i="27" s="1"/>
  <c r="I23" i="12"/>
  <c r="F28" i="11"/>
  <c r="F26" i="11" s="1"/>
  <c r="F27" i="2"/>
  <c r="I24" i="12" l="1"/>
  <c r="I25" i="12" s="1"/>
  <c r="E18" i="11"/>
  <c r="F18" i="11" s="1"/>
  <c r="F16" i="2"/>
  <c r="F15" i="9"/>
  <c r="F17" i="9"/>
  <c r="F22" i="9"/>
  <c r="F25" i="11" l="1"/>
  <c r="E24" i="9"/>
  <c r="F24" i="9" s="1"/>
  <c r="F30" i="9" s="1"/>
  <c r="F19" i="9"/>
  <c r="F33" i="9"/>
  <c r="F21" i="9"/>
  <c r="F32" i="9" s="1"/>
  <c r="F34" i="9" l="1"/>
  <c r="F35" i="9" s="1"/>
  <c r="F33" i="11"/>
  <c r="F34" i="11" s="1"/>
  <c r="F35" i="11" s="1"/>
  <c r="F36" i="11" s="1"/>
  <c r="F37" i="11" s="1"/>
  <c r="F38" i="11" s="1"/>
  <c r="F36" i="9" l="1"/>
  <c r="F37" i="9"/>
  <c r="F38" i="9" s="1"/>
  <c r="F39" i="11"/>
  <c r="F40" i="11" s="1"/>
  <c r="D10" i="27" s="1"/>
  <c r="E10" i="27" s="1"/>
  <c r="F31" i="9" l="1"/>
  <c r="F41" i="9" s="1"/>
  <c r="F42" i="9" l="1"/>
  <c r="F43" i="9" s="1"/>
  <c r="F47" i="9"/>
  <c r="E47" i="9"/>
  <c r="F44" i="9" l="1"/>
  <c r="F45" i="9" l="1"/>
  <c r="F46" i="9" s="1"/>
  <c r="D18" i="27" s="1"/>
  <c r="E18" i="27" s="1"/>
  <c r="F29" i="4"/>
  <c r="F30" i="4" s="1"/>
  <c r="G21" i="1"/>
  <c r="G32" i="1" s="1"/>
  <c r="F24" i="1" l="1"/>
  <c r="G24" i="1" s="1"/>
  <c r="F28" i="4"/>
  <c r="F26" i="4" s="1"/>
  <c r="F29" i="2"/>
  <c r="F25" i="2" s="1"/>
  <c r="G19" i="1"/>
  <c r="G33" i="1"/>
  <c r="G34" i="1" s="1"/>
  <c r="G35" i="1" l="1"/>
  <c r="G37" i="1" s="1"/>
  <c r="E18" i="4"/>
  <c r="F18" i="4" s="1"/>
  <c r="G30" i="1"/>
  <c r="G36" i="1" l="1"/>
  <c r="G38" i="1"/>
  <c r="F25" i="4" l="1"/>
  <c r="F33" i="4" s="1"/>
  <c r="G31" i="1"/>
  <c r="G48" i="1" l="1"/>
  <c r="D26" i="27" s="1"/>
  <c r="G41" i="1"/>
  <c r="F34" i="4"/>
  <c r="F35" i="4" s="1"/>
  <c r="F36" i="4" s="1"/>
  <c r="F37" i="4" s="1"/>
  <c r="F38" i="4" s="1"/>
  <c r="E17" i="2"/>
  <c r="F17" i="2" s="1"/>
  <c r="F24" i="2" l="1"/>
  <c r="F32" i="2" s="1"/>
  <c r="G42" i="1"/>
  <c r="G43" i="1" s="1"/>
  <c r="F39" i="4"/>
  <c r="F40" i="4" s="1"/>
  <c r="D4" i="27" s="1"/>
  <c r="E4" i="27" s="1"/>
  <c r="F33" i="2" l="1"/>
  <c r="F34" i="2" s="1"/>
  <c r="F35" i="2" s="1"/>
  <c r="F36" i="2" s="1"/>
  <c r="F37" i="2" s="1"/>
  <c r="G44" i="1"/>
  <c r="G45" i="1" l="1"/>
  <c r="G46" i="1" s="1"/>
  <c r="G47" i="1" s="1"/>
  <c r="D16" i="27" s="1"/>
  <c r="E16" i="27" s="1"/>
  <c r="F38" i="2"/>
  <c r="F39" i="2" s="1"/>
  <c r="D8" i="27" s="1"/>
</calcChain>
</file>

<file path=xl/sharedStrings.xml><?xml version="1.0" encoding="utf-8"?>
<sst xmlns="http://schemas.openxmlformats.org/spreadsheetml/2006/main" count="592" uniqueCount="282">
  <si>
    <t xml:space="preserve">     4.4 Итого расход бензина, литр</t>
  </si>
  <si>
    <t xml:space="preserve"> Итого                                                                                             </t>
  </si>
  <si>
    <t xml:space="preserve"> Транспортный налог                                                                       </t>
  </si>
  <si>
    <t>маш\час</t>
  </si>
  <si>
    <t>маш дни</t>
  </si>
  <si>
    <t xml:space="preserve">Годовой режим эксплуатации                                       </t>
  </si>
  <si>
    <t>Грузоподъемность автомобиля, куб. м</t>
  </si>
  <si>
    <t xml:space="preserve"> Среднее расстояние перевозки до 8 км</t>
  </si>
  <si>
    <t xml:space="preserve">         в т.ч тарифная ставка                                </t>
  </si>
  <si>
    <t xml:space="preserve">          уральские 15%                                            </t>
  </si>
  <si>
    <t xml:space="preserve">Балансовая стоимость автомобиля , руб.                                              </t>
  </si>
  <si>
    <t>4 р в день</t>
  </si>
  <si>
    <t>исходные данные</t>
  </si>
  <si>
    <t>Всего затрат</t>
  </si>
  <si>
    <t xml:space="preserve">    4.3. повышающий коэф. на зимнее время-10% и старость техники</t>
  </si>
  <si>
    <t>Согласовано:</t>
  </si>
  <si>
    <t xml:space="preserve">                                                                          Утверждаю:</t>
  </si>
  <si>
    <t>Годовая выработка условных эталонных га</t>
  </si>
  <si>
    <t xml:space="preserve">         классность 20%                                              </t>
  </si>
  <si>
    <t xml:space="preserve">         стажевые30%                              </t>
  </si>
  <si>
    <t xml:space="preserve">7.  Итого прямых затрат, руб.                                                               </t>
  </si>
  <si>
    <t xml:space="preserve">эт. га </t>
  </si>
  <si>
    <t xml:space="preserve">         в т.ч тарифная ставка  за 1 час                               </t>
  </si>
  <si>
    <t xml:space="preserve">4.  Затраты на ГСМ  ( п.4.2.+п.4.4. )                                                         </t>
  </si>
  <si>
    <t xml:space="preserve">11.  Всего затрат                                                                                                     </t>
  </si>
  <si>
    <t xml:space="preserve">12.  Итого  стоимость 1  часа услуг , руб.                                                                  </t>
  </si>
  <si>
    <t xml:space="preserve">8.  Накладные расходы, руб.                                                  </t>
  </si>
  <si>
    <t xml:space="preserve">9. Рентабельность                                                                   </t>
  </si>
  <si>
    <t xml:space="preserve">3. Отчисления ПРФ и соц. страх, руб.  -                             </t>
  </si>
  <si>
    <t xml:space="preserve">    4.3.  Расход смазочных матер.к факт. расходу топлива -, литр</t>
  </si>
  <si>
    <t>маш-час</t>
  </si>
  <si>
    <t xml:space="preserve">12.  Итого  стоимость 1  часа услуг , руб.  ( п. 11/ машино-часы).                                                                </t>
  </si>
  <si>
    <t xml:space="preserve">3. Отчисления ПРФ и соц. страх, руб.                               </t>
  </si>
  <si>
    <t xml:space="preserve">13. Стоимость перегона 1 км. за пределы Киясово ( гсм), руб.                                             </t>
  </si>
  <si>
    <t xml:space="preserve">2.Зарплата тракториста -всего ,руб .                                           </t>
  </si>
  <si>
    <t xml:space="preserve">1. Амортизация  , руб.                                                      </t>
  </si>
  <si>
    <t>з\пл за 1 час</t>
  </si>
  <si>
    <t xml:space="preserve">Амортизационные отчисления на полное восстановление                                                                         </t>
  </si>
  <si>
    <t xml:space="preserve">10. Налог  по упрощенной системе </t>
  </si>
  <si>
    <t xml:space="preserve">Амортизация на полное восстановление                                                                         </t>
  </si>
  <si>
    <t xml:space="preserve">         премия 35%                                                  </t>
  </si>
  <si>
    <t xml:space="preserve">          отпускные 8,3%                                                </t>
  </si>
  <si>
    <t xml:space="preserve">         премия 15%                                                  </t>
  </si>
  <si>
    <t xml:space="preserve">Норма амортизационных отчислений на полное восстановление                                                                         </t>
  </si>
  <si>
    <t xml:space="preserve">Расчет </t>
  </si>
  <si>
    <t xml:space="preserve">1. Годовой режим эксплуатации  автомобиля   на вывозе                             ЖБО от  населения                                      </t>
  </si>
  <si>
    <t xml:space="preserve">2. Количество рейсов за период                                                                     </t>
  </si>
  <si>
    <t>3. Грузоподъемность автомобиля, куб. м</t>
  </si>
  <si>
    <t>6. Общий пробег, км</t>
  </si>
  <si>
    <t xml:space="preserve">9.  Затраты на ГСМ  ( п.4.4.+п.4.10. )                                                         </t>
  </si>
  <si>
    <t>з\плата                  за 1 час</t>
  </si>
  <si>
    <t>Первомайское МУ ПП " Коммун-сервис" МО " Киясовский район"</t>
  </si>
  <si>
    <t xml:space="preserve">Расчет  стоимости 1 куб.м. </t>
  </si>
  <si>
    <t>Первомайское МУ ПП   " Коммун-сервис" МО " Киясовский район"</t>
  </si>
  <si>
    <t>Первомайское МУ ПП  " Коммун-сервис" МО " Киясовский район"</t>
  </si>
  <si>
    <t xml:space="preserve">Балансовая стоимость трактора ДТ-75 , руб.                                              </t>
  </si>
  <si>
    <t xml:space="preserve">    4.1.  расход диз топлива при норме - на 1 час -4,41л </t>
  </si>
  <si>
    <t xml:space="preserve">5.  Затраты на  Текущий ремонт  и  ТО, руб.  от балансовой ст-ти                             </t>
  </si>
  <si>
    <t xml:space="preserve"> Объем перевозки (стр. 5 х. стр. 6)                                                </t>
  </si>
  <si>
    <t>Общий пробег, км (стр. 5 х стр. 8)</t>
  </si>
  <si>
    <t xml:space="preserve">                                                                  Утверждаю:</t>
  </si>
  <si>
    <t xml:space="preserve">Количество рейсов за период  ( стр 4 х 4 рейса)                                                                    </t>
  </si>
  <si>
    <t xml:space="preserve">Балансовая стоимость трактора МТЗ-82 , руб.                                              </t>
  </si>
  <si>
    <t xml:space="preserve">_____________С.В. Мерзляков                                               </t>
  </si>
  <si>
    <t xml:space="preserve">    4.3. Расход смазочных матер.к факт. расходу топлива -5,1%, литр</t>
  </si>
  <si>
    <t xml:space="preserve">5.  Затраты на  Текущий ремонт  и  ТО, руб.  от балансовой ст-ти                              </t>
  </si>
  <si>
    <t xml:space="preserve">    4.1.  расхода диз. топлива при норме - на 1 час 6,6 л  всего литр</t>
  </si>
  <si>
    <t xml:space="preserve">1. Амортизация, руб.                                                      </t>
  </si>
  <si>
    <t>з/пл за 1 час</t>
  </si>
  <si>
    <t>транспортирования  ЖБО на автомобиле КО 520 на базе ЗИЛ</t>
  </si>
  <si>
    <t xml:space="preserve">Балансовая стоимость трактора Т-150К, руб.                                              </t>
  </si>
  <si>
    <t xml:space="preserve">                                                  Калькуляция</t>
  </si>
  <si>
    <t xml:space="preserve"> стоимости  1  часа услуг слесаря аварийно-востановительных работ </t>
  </si>
  <si>
    <t xml:space="preserve">  Первомайское МУ ПП "Коммун-сервис" МО " Киясовский район"</t>
  </si>
  <si>
    <t>Затраты</t>
  </si>
  <si>
    <t>Норма  рабочего времени за год, час</t>
  </si>
  <si>
    <t>Должностной оклад</t>
  </si>
  <si>
    <t>1. Оплата труда. за 1 час</t>
  </si>
  <si>
    <t>часовая тарифная ставка</t>
  </si>
  <si>
    <t xml:space="preserve">уральские </t>
  </si>
  <si>
    <t>2. Отчисления ПРФ и соц. страх</t>
  </si>
  <si>
    <t>3. Общепроиз.   общехоз. расходы и прочие расходы</t>
  </si>
  <si>
    <t>4. Рентабельность</t>
  </si>
  <si>
    <t>6. Налог по упрощенной системе</t>
  </si>
  <si>
    <t xml:space="preserve">                                                                      Утверждаю:</t>
  </si>
  <si>
    <t xml:space="preserve">                               Расчет стоимость услуг автомобиля УАЗ</t>
  </si>
  <si>
    <t xml:space="preserve">                     Первомайское МУ ПП  " Коммун-сервис" МО " Киясовский район"</t>
  </si>
  <si>
    <t xml:space="preserve">Балансовая стоимость  автомобиля УАЗ 29891 , руб.                                              </t>
  </si>
  <si>
    <t xml:space="preserve">Годовой пробег автомобиля </t>
  </si>
  <si>
    <t>км</t>
  </si>
  <si>
    <t xml:space="preserve">2.Зарплата водителя -всего ,руб .                                           </t>
  </si>
  <si>
    <t xml:space="preserve">    4.3.  Расход смазочных матер.к факт. расходу бензина -2,4%, литр</t>
  </si>
  <si>
    <t xml:space="preserve">5.  Затраты на  Текущий ремонт  и  ТО, руб.  от амортизации                              </t>
  </si>
  <si>
    <t xml:space="preserve">    4.2. Стоимость бензина при цене 1 литр -50,00 руб. </t>
  </si>
  <si>
    <t xml:space="preserve">         стажевые 30%                              </t>
  </si>
  <si>
    <t xml:space="preserve">              стоимости  1 часа услуг  трактора ДТ -75 </t>
  </si>
  <si>
    <t xml:space="preserve">Балансовая стоимость  автомобиля КАМАЗ 5320 , руб.                                              </t>
  </si>
  <si>
    <t xml:space="preserve">                               Расчет стоимость услуг автомобиля КАМАЗ 5320</t>
  </si>
  <si>
    <t xml:space="preserve">         классность 20 %                                              </t>
  </si>
  <si>
    <t xml:space="preserve">     4.4 Итого расход диз. топлива, литр</t>
  </si>
  <si>
    <t xml:space="preserve">    4.2. Стоимость диз. Топлива при цене 1 литр -50,00 руб. </t>
  </si>
  <si>
    <t>руб.</t>
  </si>
  <si>
    <t xml:space="preserve">    4.1.  расход  бензина  при норме - на 100 км - 14 литров всего</t>
  </si>
  <si>
    <t xml:space="preserve">         премия 25%                                                  </t>
  </si>
  <si>
    <t xml:space="preserve">6.  Прочие затраты </t>
  </si>
  <si>
    <t xml:space="preserve">стоимости  1  часа услуг трактора Т-150К   </t>
  </si>
  <si>
    <t>6. Прочие расходы (п.1+п.2+п.3+п.4+п.5)</t>
  </si>
  <si>
    <t xml:space="preserve">         стоимости  1  часа услуг трактора ЭО 2626 на базе МТЗ-82 ,</t>
  </si>
  <si>
    <t xml:space="preserve">    4.3.  Расход смазочных матер.к факт. расходу топлива -6%, литр</t>
  </si>
  <si>
    <t xml:space="preserve">    4.1.  расход диз топлива при норме - на 1 час -7л </t>
  </si>
  <si>
    <t xml:space="preserve">    4.1.  расход  диз. топлива  при норме - на 100 км - 30 литров всего</t>
  </si>
  <si>
    <t xml:space="preserve">    4.3.  Расход смазочных матер.к факт. расходу диз.топлива -3,7%, литр</t>
  </si>
  <si>
    <t>Перевозка грузов</t>
  </si>
  <si>
    <t>т</t>
  </si>
  <si>
    <t>ткм.</t>
  </si>
  <si>
    <t>Объем грузоперевозок , ( k пробега=0,45, kгрузоподъемности= 0,6)</t>
  </si>
  <si>
    <t>13. Стоимость 1 ткм</t>
  </si>
  <si>
    <t xml:space="preserve">для   населения </t>
  </si>
  <si>
    <t xml:space="preserve"> для организаций и предприятий </t>
  </si>
  <si>
    <t xml:space="preserve">         стажевые 30%                                                </t>
  </si>
  <si>
    <t xml:space="preserve">премия </t>
  </si>
  <si>
    <t>стажевые</t>
  </si>
  <si>
    <t>отпускные</t>
  </si>
  <si>
    <t xml:space="preserve"> Утверждаю:</t>
  </si>
  <si>
    <t>доставка ОПГС</t>
  </si>
  <si>
    <t>стоимость ОПГС 460 руб./т</t>
  </si>
  <si>
    <t>грузоподъемность</t>
  </si>
  <si>
    <t>8*460=3680</t>
  </si>
  <si>
    <t>расстояние до Яромаски 70 км</t>
  </si>
  <si>
    <t>итого</t>
  </si>
  <si>
    <t>*68,74=9623,6</t>
  </si>
  <si>
    <t>3680+9623,6=13303,6 руб</t>
  </si>
  <si>
    <t>стоимость 1 тонны ОПГС с доставкой   1662,95 руб.</t>
  </si>
  <si>
    <t>"____" _________20__г.</t>
  </si>
  <si>
    <t>"____" ___________20_г.</t>
  </si>
  <si>
    <t xml:space="preserve">                           </t>
  </si>
  <si>
    <t xml:space="preserve">Экономист Первомайского  МУ ПП «Коммун-сервис»           </t>
  </si>
  <si>
    <t>Шишова Т.А.</t>
  </si>
  <si>
    <t>"____" _________20___г.</t>
  </si>
  <si>
    <t xml:space="preserve">5.  Затраты на  Текущий ремонт  и  ТО, руб. % от балансовой ст-ти                             </t>
  </si>
  <si>
    <t xml:space="preserve">  "____" _____________20__г.</t>
  </si>
  <si>
    <t>Глава МО "Муниципальный округ "Киясовский район Удмуртской Республики"</t>
  </si>
  <si>
    <t xml:space="preserve">                                                            </t>
  </si>
  <si>
    <t>Директор Первомайского МУ ПП " Коммун-сервис"</t>
  </si>
  <si>
    <t xml:space="preserve">                                  </t>
  </si>
  <si>
    <t xml:space="preserve"> "____" _________________20__г.</t>
  </si>
  <si>
    <t xml:space="preserve">                                                                          </t>
  </si>
  <si>
    <t>Утверждаю:</t>
  </si>
  <si>
    <t>"_____" __________ 20       г.</t>
  </si>
  <si>
    <t xml:space="preserve">Первомайское МУ ПП " Коммун-сервис" МО "Киясовский район" </t>
  </si>
  <si>
    <t>Глава МО "Муниципальный округ Киясовский район Удмуртской Республики"</t>
  </si>
  <si>
    <t>Глава МО "Муниципальный округ  Киясовский район Удмуртской Республики"</t>
  </si>
  <si>
    <t xml:space="preserve">                          </t>
  </si>
  <si>
    <t xml:space="preserve">                                             </t>
  </si>
  <si>
    <t>"____"  __________20__г.</t>
  </si>
  <si>
    <t xml:space="preserve">                                                               </t>
  </si>
  <si>
    <t xml:space="preserve">                                                        </t>
  </si>
  <si>
    <t xml:space="preserve">                                                          </t>
  </si>
  <si>
    <t xml:space="preserve"> "____" _____________20__г.</t>
  </si>
  <si>
    <t xml:space="preserve">                                                   </t>
  </si>
  <si>
    <t>_____________А.Ю. Камашев</t>
  </si>
  <si>
    <t xml:space="preserve">                                                 </t>
  </si>
  <si>
    <t>"____" _____________20__г.</t>
  </si>
  <si>
    <t xml:space="preserve"> "____" __________20__г.</t>
  </si>
  <si>
    <t xml:space="preserve">                                               </t>
  </si>
  <si>
    <t xml:space="preserve">                                           </t>
  </si>
  <si>
    <t xml:space="preserve">         стоимости  1  часа услуг трактора МТЗ-82,80</t>
  </si>
  <si>
    <t>5. Среднее расстояние перевозки до 4 км</t>
  </si>
  <si>
    <t>9.2. расход газа при норме  на закачку 1 бочки-1,2л</t>
  </si>
  <si>
    <t>9.4 Итого расход газа, литр ( п.9.1+п 9.2+п 9.3)</t>
  </si>
  <si>
    <t>9.1.  расхода газа  при норме на 100 км пробега, л</t>
  </si>
  <si>
    <t>8. Отчисления ПРФ и соц. страх, руб.</t>
  </si>
  <si>
    <t xml:space="preserve">4. Объем ЖБО   от населения (п2 х п3)                                                </t>
  </si>
  <si>
    <t xml:space="preserve">7.2.  премия 25%                                                  </t>
  </si>
  <si>
    <t xml:space="preserve">7.3.  стажевые 30%                                                </t>
  </si>
  <si>
    <t xml:space="preserve">7.4.  уральские 15%                                            </t>
  </si>
  <si>
    <t xml:space="preserve">7.5. отпускные 8,3%                                                </t>
  </si>
  <si>
    <t>7.Зарплата водителя - всего, руб . (п7*п1)</t>
  </si>
  <si>
    <t>"____"___________20    г.</t>
  </si>
  <si>
    <t xml:space="preserve">Годовой режим эксплуатации  автомобиля  (стр 3 х 8 час)                                   </t>
  </si>
  <si>
    <t xml:space="preserve">Балансовая стоимость автомобиля, руб.                                              </t>
  </si>
  <si>
    <t xml:space="preserve">         уральские 15%                                            </t>
  </si>
  <si>
    <t xml:space="preserve">         отпускные 8,3%                                                </t>
  </si>
  <si>
    <t>Амортизация, руб. ( стр.1 х стр. 2)</t>
  </si>
  <si>
    <t xml:space="preserve">Зарплата водителя -всего, руб . (исх стр.11 х стр 3)                                       </t>
  </si>
  <si>
    <t>Отчисления ПРФ и соц. страх, руб.</t>
  </si>
  <si>
    <t xml:space="preserve">Затраты на ГСМ, руб.  ( стр 23+ стр 25 )                                                         </t>
  </si>
  <si>
    <t>Расхода газа  при норме на 100 км пробега, л (стр 9 * 46,5%)</t>
  </si>
  <si>
    <t>Расход газа при норме  на закачку 1 бочки, л (стр 5* 1,2)</t>
  </si>
  <si>
    <t>9.3. повышающий коэф. на зимнее время-10%, 10% старость техники ((6мес*20%+6мес*10%)/12 мес)</t>
  </si>
  <si>
    <t>9.5. Стоимость газа при цене 1 литра газа, руб. (п9.4*п9.5)</t>
  </si>
  <si>
    <t>9.6.Расход смазочных матер.к факт. расходу топлива, % (п9.4*п9.6)</t>
  </si>
  <si>
    <t xml:space="preserve">9.7. Стоимость  смазочных материалов, руб. (п9.6*п9.7) </t>
  </si>
  <si>
    <t>Итого расход газа, литр (стр19+стр20+стр21)</t>
  </si>
  <si>
    <t xml:space="preserve">Транспортный налог, руб.                           </t>
  </si>
  <si>
    <t xml:space="preserve">Стоимость перегона 1 км. за пределы Киясово ( гсм), руб.(стр18/стр 9)                                             </t>
  </si>
  <si>
    <t xml:space="preserve">Итого  стоимость 1  куб м. откачки  и транспортировки ЖБО , руб. (стр33/стр 7)                                                                 </t>
  </si>
  <si>
    <t xml:space="preserve">Всего затрат , руб (стр30+стр31+стр32)                                                                                                 </t>
  </si>
  <si>
    <t xml:space="preserve"> Итого затрат, руб. (стр28+стр29)</t>
  </si>
  <si>
    <t xml:space="preserve"> Накладные расходы, руб.  (стр28*20%)</t>
  </si>
  <si>
    <t>Рентабельность, руб. (стр30*10%)</t>
  </si>
  <si>
    <t>Налог по упрощенной системе, руб. (стр31+стр32*1%)</t>
  </si>
  <si>
    <t xml:space="preserve"> Итого прямых затрат, руб. (стр10+стр11+стр17+стр18+стр26+стр27)</t>
  </si>
  <si>
    <t>Затраты на текущий ремонт  и  ТО, %  от балансовой стоимости, руб. (стр1*10%)</t>
  </si>
  <si>
    <t>Расход смазочных матер.к факт. расходу топлива, л (стр22*2,9%)</t>
  </si>
  <si>
    <t>Стоимость газа, руб. (стр 22 * 35,00)</t>
  </si>
  <si>
    <t>Повышающий коэф. на зимнее время-10%, 10% старость техники ((6мес*20%+6мес*10%)/12 мес) (стр 19+стр 20*15%)</t>
  </si>
  <si>
    <t xml:space="preserve">                                                                    </t>
  </si>
  <si>
    <t xml:space="preserve">    4.1.  расхода диз. топлива при норме - на 1 час, литров всего</t>
  </si>
  <si>
    <t xml:space="preserve">    4.2. Стоимость диз топлива, руб. </t>
  </si>
  <si>
    <t xml:space="preserve">   4.4. Стоимость  смазочных материалов, руб </t>
  </si>
  <si>
    <t xml:space="preserve">    4.2. Стоимость диз топлива,руб.</t>
  </si>
  <si>
    <t xml:space="preserve">   4.4. Стоимость  смазочных материалов, руб. </t>
  </si>
  <si>
    <t xml:space="preserve">6. Транспортный налог                                                                       </t>
  </si>
  <si>
    <t>7. Прочие расходы (п.1+п.2+п.3+п.4+п.5)</t>
  </si>
  <si>
    <t xml:space="preserve">8.  Итого прямых затрат, руб.                         </t>
  </si>
  <si>
    <t xml:space="preserve">9.  Накладные расходы, руб.                                                  </t>
  </si>
  <si>
    <t xml:space="preserve">10. Рентабельность                                                                   </t>
  </si>
  <si>
    <t xml:space="preserve">11. Налог  по упрощенной системе </t>
  </si>
  <si>
    <t xml:space="preserve">12.  Всего затрат                                                                                                     </t>
  </si>
  <si>
    <t>Итого  стоимость 1  часа услуг , руб.  ( п. 11/ машино-часы)</t>
  </si>
  <si>
    <t xml:space="preserve">                                                                        </t>
  </si>
  <si>
    <t xml:space="preserve">  Утверждаю:</t>
  </si>
  <si>
    <t xml:space="preserve">5.  Затраты на  Текущий ремонт  и  ТО, руб. от балансовой ст-ти                              </t>
  </si>
  <si>
    <t xml:space="preserve">Балансовая стоимость  автомобиля, руб.                                              </t>
  </si>
  <si>
    <t xml:space="preserve">    4.1.  расход  бензина  при норме - на 100 км - 9 литров всего</t>
  </si>
  <si>
    <t xml:space="preserve">    4.3. повышающий коэф. на зимнее время-20% и старость техники</t>
  </si>
  <si>
    <t>7 рейсов в день</t>
  </si>
  <si>
    <t>Первомайское МУ ПП " Коммун-сервис" Киясовского района</t>
  </si>
  <si>
    <t xml:space="preserve">10.  Затраты на  Текущий ремонт  и  ТО, руб.                               </t>
  </si>
  <si>
    <t xml:space="preserve">11. Транспортный налог                                                                       </t>
  </si>
  <si>
    <t xml:space="preserve">14. Рентабельность 10%                                                                  </t>
  </si>
  <si>
    <t xml:space="preserve">16.  Итого  стоимость 1 куб м. откачки  и                                транспортировки ЖБО , руб.  ( 12/п4)                                                                </t>
  </si>
  <si>
    <t xml:space="preserve">12.  Итого прямых затрат, руб.   (п 7+п 8 +п 9 +п10 +п11)                                                          </t>
  </si>
  <si>
    <t xml:space="preserve">13. Накладные расходы, руб.  10%  (п12*п13)                                       </t>
  </si>
  <si>
    <t xml:space="preserve">15.  Всего затрат   на транспортировку, руб.   ( п13+п14)                                                                                                 </t>
  </si>
  <si>
    <t xml:space="preserve">Норма амортизационных отчислений                                                                         </t>
  </si>
  <si>
    <t xml:space="preserve">2.Зарплата тракториста -всего, руб. (оклад 13367 руб.)                                        </t>
  </si>
  <si>
    <t>(оклад 13367 руб.)</t>
  </si>
  <si>
    <t xml:space="preserve">2.Зарплата тракториста -всего ,руб .  (оклад 12047 руб.)                                         </t>
  </si>
  <si>
    <t xml:space="preserve">2.Зарплата тракториста -всего ,руб .    (оклад 10849 руб.)                                       </t>
  </si>
  <si>
    <t xml:space="preserve">         в т.ч тарифная ставка  за 1 час      ( оклад 10849 руб)                          </t>
  </si>
  <si>
    <t xml:space="preserve">         в т.ч тарифная ставка  за 1 час      ( оклад 13367 руб)                          </t>
  </si>
  <si>
    <t xml:space="preserve">   4.4. Стоимость  смазочных материалов при цене 500 руб за 1 л., руб </t>
  </si>
  <si>
    <t xml:space="preserve">7.1.  в т.ч тарифная ставка (оклад 12047 руб.*12/1973)                                </t>
  </si>
  <si>
    <t>Стоимость смазочных материалов,  руб (стр24*500,00)</t>
  </si>
  <si>
    <t>Виды услуг</t>
  </si>
  <si>
    <t>Согласованные тарифы на 2023 год</t>
  </si>
  <si>
    <t>Планируемые тарифы на 2024 год (согласно расчетам)</t>
  </si>
  <si>
    <t>Рост тарифов в %</t>
  </si>
  <si>
    <t>Примечание</t>
  </si>
  <si>
    <t>Для юридических  лиц:</t>
  </si>
  <si>
    <t>Услуги трактора ЭО 2626 на базе трактора МТЗ-82</t>
  </si>
  <si>
    <t xml:space="preserve">рублей </t>
  </si>
  <si>
    <t>за 1 час</t>
  </si>
  <si>
    <t>Услуги трактора  МТЗ-82, 80</t>
  </si>
  <si>
    <t>рублей</t>
  </si>
  <si>
    <t xml:space="preserve"> за 1 час</t>
  </si>
  <si>
    <t>1 499,00</t>
  </si>
  <si>
    <t>Услуги трактора Т-150К</t>
  </si>
  <si>
    <t>2 253,00</t>
  </si>
  <si>
    <t>Услуги трактора ДТ-75</t>
  </si>
  <si>
    <t>Услуги автомобиля УАЗ</t>
  </si>
  <si>
    <t>Услуги автомобиля КАМАЗ 5320</t>
  </si>
  <si>
    <t>1 559,00</t>
  </si>
  <si>
    <t>Транспортирование жидких бытовых отходов (для юр.лиц)</t>
  </si>
  <si>
    <t>за 1 куб.м.</t>
  </si>
  <si>
    <t>Транспортирование жидких бытовых отходов (для населения)</t>
  </si>
  <si>
    <t>рублей за 1 куб.м.</t>
  </si>
  <si>
    <t>Для населения и юр. лиц</t>
  </si>
  <si>
    <t>Услуги слесаря АВР</t>
  </si>
  <si>
    <t>Стоимость перегона автомобиля за пределы с. Киясово</t>
  </si>
  <si>
    <t>за 1 км.</t>
  </si>
  <si>
    <t>Стоимость 1 часа услуг сварщика, руб.</t>
  </si>
  <si>
    <t xml:space="preserve">_____________С.А. Кирющенков                                          </t>
  </si>
  <si>
    <t>Услуги сварщика АВР</t>
  </si>
  <si>
    <t xml:space="preserve"> стоимости  1  часа услуг токаря</t>
  </si>
  <si>
    <t>участков водоснабжения и теплоснабжения</t>
  </si>
  <si>
    <t xml:space="preserve"> стоимости  1  часа услуг сварщика</t>
  </si>
  <si>
    <t>Стоимость 1 часа услуг слесаря, руб.</t>
  </si>
  <si>
    <t>Стоимость 1 часа услуг токаря, руб.</t>
  </si>
  <si>
    <t>Услуги токаря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</si>
</sst>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256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/>
    <xf numFmtId="0" fontId="1" fillId="0" borderId="1" xfId="0" applyFont="1" applyBorder="1"/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" xfId="0" applyFont="1" applyBorder="1" applyAlignment="1">
      <alignment horizontal="left"/>
    </xf>
    <xf numFmtId="0" fontId="1" fillId="0" borderId="2" xfId="0" applyFont="1" applyBorder="1" applyAlignment="1"/>
    <xf numFmtId="0" fontId="4" fillId="0" borderId="0" xfId="0" applyFont="1"/>
    <xf numFmtId="0" fontId="1" fillId="0" borderId="0" xfId="0" applyFont="1" applyAlignment="1"/>
    <xf numFmtId="0" fontId="4" fillId="0" borderId="0" xfId="0" applyFont="1" applyAlignment="1"/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/>
    <xf numFmtId="0" fontId="4" fillId="2" borderId="1" xfId="0" applyFont="1" applyFill="1" applyBorder="1"/>
    <xf numFmtId="2" fontId="4" fillId="0" borderId="1" xfId="0" applyNumberFormat="1" applyFont="1" applyBorder="1"/>
    <xf numFmtId="10" fontId="4" fillId="0" borderId="1" xfId="0" applyNumberFormat="1" applyFont="1" applyBorder="1"/>
    <xf numFmtId="9" fontId="4" fillId="0" borderId="1" xfId="0" applyNumberFormat="1" applyFont="1" applyBorder="1"/>
    <xf numFmtId="0" fontId="1" fillId="0" borderId="1" xfId="0" applyFont="1" applyBorder="1" applyAlignment="1"/>
    <xf numFmtId="0" fontId="1" fillId="0" borderId="3" xfId="0" applyFont="1" applyBorder="1" applyAlignment="1"/>
    <xf numFmtId="0" fontId="1" fillId="0" borderId="0" xfId="0" applyFont="1" applyBorder="1"/>
    <xf numFmtId="0" fontId="4" fillId="0" borderId="0" xfId="0" applyFont="1" applyBorder="1"/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165" fontId="4" fillId="0" borderId="1" xfId="0" applyNumberFormat="1" applyFont="1" applyBorder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/>
    <xf numFmtId="10" fontId="1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2" fontId="3" fillId="0" borderId="0" xfId="0" applyNumberFormat="1" applyFont="1" applyBorder="1" applyAlignment="1"/>
    <xf numFmtId="0" fontId="2" fillId="0" borderId="0" xfId="0" applyFont="1" applyAlignme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/>
    <xf numFmtId="164" fontId="5" fillId="0" borderId="1" xfId="0" applyNumberFormat="1" applyFont="1" applyBorder="1"/>
    <xf numFmtId="2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1" fontId="9" fillId="0" borderId="11" xfId="0" applyNumberFormat="1" applyFont="1" applyBorder="1"/>
    <xf numFmtId="0" fontId="5" fillId="0" borderId="0" xfId="0" applyFont="1" applyBorder="1"/>
    <xf numFmtId="0" fontId="2" fillId="0" borderId="0" xfId="0" applyFont="1" applyAlignment="1"/>
    <xf numFmtId="0" fontId="2" fillId="0" borderId="5" xfId="0" applyFont="1" applyBorder="1" applyAlignment="1">
      <alignment horizontal="center"/>
    </xf>
    <xf numFmtId="0" fontId="1" fillId="2" borderId="1" xfId="0" applyFont="1" applyFill="1" applyBorder="1"/>
    <xf numFmtId="9" fontId="1" fillId="0" borderId="1" xfId="0" applyNumberFormat="1" applyFont="1" applyBorder="1"/>
    <xf numFmtId="2" fontId="1" fillId="0" borderId="1" xfId="0" applyNumberFormat="1" applyFont="1" applyBorder="1"/>
    <xf numFmtId="10" fontId="1" fillId="0" borderId="1" xfId="0" applyNumberFormat="1" applyFont="1" applyBorder="1"/>
    <xf numFmtId="0" fontId="4" fillId="0" borderId="0" xfId="0" applyFont="1" applyBorder="1" applyAlignment="1"/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5" xfId="0" applyFont="1" applyBorder="1" applyAlignment="1">
      <alignment horizontal="center"/>
    </xf>
    <xf numFmtId="0" fontId="3" fillId="0" borderId="0" xfId="0" applyFont="1" applyAlignment="1"/>
    <xf numFmtId="0" fontId="7" fillId="0" borderId="1" xfId="0" applyFont="1" applyBorder="1" applyAlignment="1">
      <alignment horizontal="center" wrapText="1"/>
    </xf>
    <xf numFmtId="165" fontId="1" fillId="0" borderId="1" xfId="0" applyNumberFormat="1" applyFont="1" applyBorder="1"/>
    <xf numFmtId="2" fontId="5" fillId="0" borderId="0" xfId="0" applyNumberFormat="1" applyFont="1"/>
    <xf numFmtId="1" fontId="5" fillId="0" borderId="0" xfId="0" applyNumberFormat="1" applyFont="1"/>
    <xf numFmtId="0" fontId="1" fillId="0" borderId="0" xfId="0" applyFont="1" applyFill="1" applyBorder="1"/>
    <xf numFmtId="0" fontId="1" fillId="0" borderId="2" xfId="0" applyFont="1" applyBorder="1" applyAlignment="1"/>
    <xf numFmtId="0" fontId="1" fillId="0" borderId="3" xfId="0" applyFont="1" applyBorder="1" applyAlignment="1"/>
    <xf numFmtId="0" fontId="10" fillId="0" borderId="0" xfId="0" applyFont="1"/>
    <xf numFmtId="9" fontId="5" fillId="0" borderId="0" xfId="0" applyNumberFormat="1" applyFont="1"/>
    <xf numFmtId="2" fontId="0" fillId="0" borderId="0" xfId="0" applyNumberFormat="1"/>
    <xf numFmtId="0" fontId="3" fillId="0" borderId="2" xfId="0" applyFont="1" applyBorder="1" applyAlignment="1">
      <alignment horizontal="left"/>
    </xf>
    <xf numFmtId="0" fontId="1" fillId="0" borderId="4" xfId="0" applyFont="1" applyBorder="1"/>
    <xf numFmtId="0" fontId="1" fillId="0" borderId="11" xfId="0" applyFont="1" applyBorder="1"/>
    <xf numFmtId="0" fontId="3" fillId="0" borderId="11" xfId="0" applyFont="1" applyBorder="1"/>
    <xf numFmtId="0" fontId="1" fillId="0" borderId="3" xfId="0" applyFont="1" applyBorder="1"/>
    <xf numFmtId="0" fontId="0" fillId="0" borderId="0" xfId="0" applyAlignment="1"/>
    <xf numFmtId="0" fontId="1" fillId="0" borderId="0" xfId="0" applyFont="1" applyBorder="1" applyAlignment="1">
      <alignment horizontal="left"/>
    </xf>
    <xf numFmtId="0" fontId="5" fillId="0" borderId="0" xfId="0" applyFont="1" applyBorder="1" applyAlignment="1"/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/>
    </xf>
    <xf numFmtId="4" fontId="9" fillId="0" borderId="1" xfId="0" applyNumberFormat="1" applyFont="1" applyBorder="1"/>
    <xf numFmtId="4" fontId="9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4" fontId="1" fillId="0" borderId="1" xfId="0" applyNumberFormat="1" applyFont="1" applyBorder="1" applyAlignment="1"/>
    <xf numFmtId="4" fontId="3" fillId="0" borderId="1" xfId="0" applyNumberFormat="1" applyFont="1" applyBorder="1" applyAlignment="1"/>
    <xf numFmtId="10" fontId="5" fillId="0" borderId="1" xfId="0" applyNumberFormat="1" applyFont="1" applyBorder="1" applyAlignment="1">
      <alignment horizontal="center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4" fontId="3" fillId="0" borderId="1" xfId="0" applyNumberFormat="1" applyFont="1" applyBorder="1"/>
    <xf numFmtId="9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10" fontId="4" fillId="0" borderId="1" xfId="0" applyNumberFormat="1" applyFont="1" applyBorder="1" applyAlignment="1">
      <alignment horizontal="center"/>
    </xf>
    <xf numFmtId="4" fontId="6" fillId="2" borderId="1" xfId="0" applyNumberFormat="1" applyFont="1" applyFill="1" applyBorder="1"/>
    <xf numFmtId="4" fontId="4" fillId="2" borderId="1" xfId="0" applyNumberFormat="1" applyFont="1" applyFill="1" applyBorder="1"/>
    <xf numFmtId="4" fontId="6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Fill="1" applyBorder="1"/>
    <xf numFmtId="4" fontId="3" fillId="0" borderId="1" xfId="0" applyNumberFormat="1" applyFont="1" applyFill="1" applyBorder="1"/>
    <xf numFmtId="165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5" xfId="0" applyFont="1" applyBorder="1" applyAlignment="1">
      <alignment horizontal="center"/>
    </xf>
    <xf numFmtId="4" fontId="9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1" fillId="0" borderId="12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4" fontId="1" fillId="0" borderId="2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1" fontId="9" fillId="0" borderId="1" xfId="0" applyNumberFormat="1" applyFont="1" applyBorder="1" applyAlignment="1">
      <alignment horizontal="center"/>
    </xf>
    <xf numFmtId="9" fontId="1" fillId="0" borderId="17" xfId="1" applyFont="1" applyBorder="1" applyAlignment="1">
      <alignment horizontal="center" vertical="center" wrapText="1"/>
    </xf>
    <xf numFmtId="9" fontId="1" fillId="0" borderId="1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1" fontId="9" fillId="0" borderId="0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3" fillId="0" borderId="0" xfId="0" applyFont="1" applyBorder="1" applyAlignment="1"/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0" xfId="0" applyFont="1" applyAlignment="1"/>
    <xf numFmtId="0" fontId="5" fillId="0" borderId="3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9" fontId="5" fillId="0" borderId="2" xfId="0" applyNumberFormat="1" applyFont="1" applyBorder="1" applyAlignment="1">
      <alignment horizontal="center"/>
    </xf>
    <xf numFmtId="10" fontId="5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4" fontId="1" fillId="0" borderId="20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0" fontId="1" fillId="0" borderId="20" xfId="0" applyNumberFormat="1" applyFont="1" applyBorder="1" applyAlignment="1">
      <alignment horizontal="center" vertical="center" wrapText="1"/>
    </xf>
    <xf numFmtId="10" fontId="1" fillId="0" borderId="15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2" fontId="1" fillId="0" borderId="20" xfId="0" applyNumberFormat="1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3" fontId="1" fillId="0" borderId="20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2" fontId="1" fillId="0" borderId="20" xfId="1" applyNumberFormat="1" applyFont="1" applyBorder="1" applyAlignment="1">
      <alignment horizontal="center" vertical="center" wrapText="1"/>
    </xf>
    <xf numFmtId="2" fontId="1" fillId="0" borderId="15" xfId="1" applyNumberFormat="1" applyFont="1" applyBorder="1" applyAlignment="1">
      <alignment horizontal="center" vertical="center" wrapText="1"/>
    </xf>
    <xf numFmtId="9" fontId="1" fillId="0" borderId="20" xfId="1" applyFont="1" applyBorder="1" applyAlignment="1">
      <alignment horizontal="center" vertical="center" wrapText="1"/>
    </xf>
    <xf numFmtId="9" fontId="1" fillId="0" borderId="15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zoomScale="90" zoomScaleNormal="90" workbookViewId="0">
      <selection activeCell="K26" sqref="K26"/>
    </sheetView>
  </sheetViews>
  <sheetFormatPr defaultRowHeight="15" x14ac:dyDescent="0.25"/>
  <cols>
    <col min="1" max="2" width="9.140625" style="29"/>
    <col min="3" max="3" width="14.140625" style="29" customWidth="1"/>
    <col min="4" max="4" width="23" style="29" customWidth="1"/>
    <col min="5" max="5" width="12.42578125" style="29" customWidth="1"/>
    <col min="6" max="6" width="14.7109375" style="29" customWidth="1"/>
    <col min="7" max="7" width="9.140625" style="29"/>
    <col min="8" max="8" width="10.42578125" style="29" bestFit="1" customWidth="1"/>
    <col min="9" max="16384" width="9.140625" style="29"/>
  </cols>
  <sheetData>
    <row r="1" spans="1:7" x14ac:dyDescent="0.25">
      <c r="A1" s="29" t="s">
        <v>15</v>
      </c>
      <c r="D1" s="30" t="s">
        <v>207</v>
      </c>
      <c r="E1" s="30" t="s">
        <v>147</v>
      </c>
      <c r="F1" s="30"/>
    </row>
    <row r="2" spans="1:7" ht="15.75" x14ac:dyDescent="0.25">
      <c r="A2" s="168" t="s">
        <v>150</v>
      </c>
      <c r="B2" s="168"/>
      <c r="C2" s="168"/>
      <c r="D2" s="103" t="s">
        <v>142</v>
      </c>
      <c r="E2" s="168" t="s">
        <v>143</v>
      </c>
      <c r="F2" s="168"/>
    </row>
    <row r="3" spans="1:7" ht="33.75" customHeight="1" x14ac:dyDescent="0.25">
      <c r="A3" s="168"/>
      <c r="B3" s="168"/>
      <c r="C3" s="168"/>
      <c r="D3" s="28"/>
      <c r="E3" s="168"/>
      <c r="F3" s="168"/>
    </row>
    <row r="4" spans="1:7" ht="24.75" customHeight="1" x14ac:dyDescent="0.25">
      <c r="A4" s="1" t="s">
        <v>274</v>
      </c>
      <c r="D4" s="30" t="s">
        <v>159</v>
      </c>
      <c r="E4" s="30" t="s">
        <v>160</v>
      </c>
      <c r="F4" s="30"/>
      <c r="G4" s="30"/>
    </row>
    <row r="5" spans="1:7" x14ac:dyDescent="0.25">
      <c r="A5" s="29" t="s">
        <v>133</v>
      </c>
      <c r="D5" s="30" t="s">
        <v>161</v>
      </c>
      <c r="E5" s="30" t="s">
        <v>162</v>
      </c>
      <c r="F5" s="30"/>
      <c r="G5" s="30"/>
    </row>
    <row r="6" spans="1:7" ht="15.75" x14ac:dyDescent="0.25">
      <c r="A6" s="1"/>
      <c r="B6" s="1"/>
      <c r="C6" s="1"/>
      <c r="D6" s="12"/>
      <c r="E6" s="12"/>
      <c r="F6" s="12"/>
    </row>
    <row r="7" spans="1:7" ht="18.75" x14ac:dyDescent="0.3">
      <c r="A7" s="54"/>
      <c r="B7" s="54"/>
      <c r="C7" s="54"/>
      <c r="D7" s="54"/>
      <c r="E7" s="54"/>
      <c r="F7" s="54"/>
      <c r="G7" s="54"/>
    </row>
    <row r="8" spans="1:7" ht="18.75" x14ac:dyDescent="0.3">
      <c r="A8" s="166" t="s">
        <v>105</v>
      </c>
      <c r="B8" s="166"/>
      <c r="C8" s="166"/>
      <c r="D8" s="166"/>
      <c r="E8" s="166"/>
      <c r="F8" s="166"/>
      <c r="G8" s="145"/>
    </row>
    <row r="9" spans="1:7" ht="18.75" x14ac:dyDescent="0.3">
      <c r="A9" s="167" t="s">
        <v>54</v>
      </c>
      <c r="B9" s="167"/>
      <c r="C9" s="167"/>
      <c r="D9" s="167"/>
      <c r="E9" s="167"/>
      <c r="F9" s="167"/>
    </row>
    <row r="10" spans="1:7" ht="18.75" x14ac:dyDescent="0.3">
      <c r="A10" s="69"/>
      <c r="B10" s="69"/>
      <c r="C10" s="69"/>
      <c r="D10" s="69"/>
      <c r="E10" s="69"/>
      <c r="F10" s="69"/>
    </row>
    <row r="11" spans="1:7" ht="31.5" x14ac:dyDescent="0.25">
      <c r="A11" s="172"/>
      <c r="B11" s="173"/>
      <c r="C11" s="173"/>
      <c r="D11" s="174"/>
      <c r="E11" s="44" t="s">
        <v>12</v>
      </c>
      <c r="F11" s="4" t="s">
        <v>13</v>
      </c>
    </row>
    <row r="12" spans="1:7" ht="15.75" x14ac:dyDescent="0.25">
      <c r="A12" s="169" t="s">
        <v>70</v>
      </c>
      <c r="B12" s="170"/>
      <c r="C12" s="170"/>
      <c r="D12" s="171"/>
      <c r="E12" s="44">
        <v>339438</v>
      </c>
      <c r="F12" s="113"/>
    </row>
    <row r="13" spans="1:7" ht="15.75" x14ac:dyDescent="0.25">
      <c r="A13" s="169" t="s">
        <v>37</v>
      </c>
      <c r="B13" s="170"/>
      <c r="C13" s="170"/>
      <c r="D13" s="171"/>
      <c r="E13" s="51">
        <v>0.1</v>
      </c>
      <c r="F13" s="113">
        <v>10</v>
      </c>
    </row>
    <row r="14" spans="1:7" ht="15.75" x14ac:dyDescent="0.25">
      <c r="A14" s="169" t="s">
        <v>5</v>
      </c>
      <c r="B14" s="170"/>
      <c r="C14" s="170"/>
      <c r="D14" s="171"/>
      <c r="E14" s="14" t="s">
        <v>30</v>
      </c>
      <c r="F14" s="113">
        <v>1080</v>
      </c>
    </row>
    <row r="15" spans="1:7" ht="15.75" x14ac:dyDescent="0.25">
      <c r="A15" s="169" t="s">
        <v>17</v>
      </c>
      <c r="B15" s="170"/>
      <c r="C15" s="170"/>
      <c r="D15" s="171"/>
      <c r="E15" s="14" t="s">
        <v>21</v>
      </c>
      <c r="F15" s="113">
        <f>F14*1.65</f>
        <v>1782</v>
      </c>
    </row>
    <row r="16" spans="1:7" ht="15.75" x14ac:dyDescent="0.25">
      <c r="A16" s="169" t="s">
        <v>35</v>
      </c>
      <c r="B16" s="170"/>
      <c r="C16" s="170"/>
      <c r="D16" s="171"/>
      <c r="E16" s="14"/>
      <c r="F16" s="114">
        <f>E12*F13%</f>
        <v>33943.800000000003</v>
      </c>
    </row>
    <row r="17" spans="1:8" ht="15.75" x14ac:dyDescent="0.25">
      <c r="A17" s="169" t="s">
        <v>237</v>
      </c>
      <c r="B17" s="170"/>
      <c r="C17" s="170"/>
      <c r="D17" s="171"/>
      <c r="E17" s="46">
        <f>SUM(E18:E23)</f>
        <v>166.59139199999998</v>
      </c>
      <c r="F17" s="114">
        <f>E17*F14</f>
        <v>179918.70335999998</v>
      </c>
    </row>
    <row r="18" spans="1:8" ht="15.75" x14ac:dyDescent="0.25">
      <c r="A18" s="169" t="s">
        <v>22</v>
      </c>
      <c r="B18" s="170"/>
      <c r="C18" s="170"/>
      <c r="D18" s="171"/>
      <c r="E18" s="14">
        <f>ROUND(13367*12/1973,2)</f>
        <v>81.3</v>
      </c>
      <c r="F18" s="113"/>
    </row>
    <row r="19" spans="1:8" ht="15.75" x14ac:dyDescent="0.25">
      <c r="A19" s="169" t="s">
        <v>18</v>
      </c>
      <c r="B19" s="170"/>
      <c r="C19" s="170"/>
      <c r="D19" s="171"/>
      <c r="E19" s="46">
        <f>ROUND(E18*20%,2)</f>
        <v>16.260000000000002</v>
      </c>
      <c r="F19" s="113"/>
    </row>
    <row r="20" spans="1:8" ht="15.75" x14ac:dyDescent="0.25">
      <c r="A20" s="169" t="s">
        <v>42</v>
      </c>
      <c r="B20" s="170"/>
      <c r="C20" s="170"/>
      <c r="D20" s="171"/>
      <c r="E20" s="46">
        <f>ROUND(E18*15%,2)</f>
        <v>12.2</v>
      </c>
      <c r="F20" s="113"/>
    </row>
    <row r="21" spans="1:8" ht="15.75" x14ac:dyDescent="0.25">
      <c r="A21" s="169" t="s">
        <v>19</v>
      </c>
      <c r="B21" s="170"/>
      <c r="C21" s="170"/>
      <c r="D21" s="171"/>
      <c r="E21" s="46">
        <f>ROUND(E18*30%,)</f>
        <v>24</v>
      </c>
      <c r="F21" s="113"/>
    </row>
    <row r="22" spans="1:8" ht="15.75" x14ac:dyDescent="0.25">
      <c r="A22" s="169" t="s">
        <v>9</v>
      </c>
      <c r="B22" s="170"/>
      <c r="C22" s="170"/>
      <c r="D22" s="171"/>
      <c r="E22" s="46">
        <f>(E18+E19+E20+E21)*15%</f>
        <v>20.063999999999997</v>
      </c>
      <c r="F22" s="113"/>
    </row>
    <row r="23" spans="1:8" ht="15.75" x14ac:dyDescent="0.25">
      <c r="A23" s="169" t="s">
        <v>41</v>
      </c>
      <c r="B23" s="170"/>
      <c r="C23" s="170"/>
      <c r="D23" s="171"/>
      <c r="E23" s="46">
        <f>(E18+E19+E20+E21+E22)*8.3%</f>
        <v>12.767391999999999</v>
      </c>
      <c r="F23" s="113"/>
    </row>
    <row r="24" spans="1:8" ht="15.75" x14ac:dyDescent="0.25">
      <c r="A24" s="169" t="s">
        <v>32</v>
      </c>
      <c r="B24" s="170"/>
      <c r="C24" s="170"/>
      <c r="D24" s="171"/>
      <c r="E24" s="48">
        <v>0.30199999999999999</v>
      </c>
      <c r="F24" s="114">
        <f>F17*E24</f>
        <v>54335.448414719991</v>
      </c>
    </row>
    <row r="25" spans="1:8" ht="15.75" x14ac:dyDescent="0.25">
      <c r="A25" s="169" t="s">
        <v>23</v>
      </c>
      <c r="B25" s="170"/>
      <c r="C25" s="170"/>
      <c r="D25" s="171"/>
      <c r="E25" s="14"/>
      <c r="F25" s="114">
        <f>F27+F29</f>
        <v>1181952</v>
      </c>
    </row>
    <row r="26" spans="1:8" ht="32.25" customHeight="1" x14ac:dyDescent="0.25">
      <c r="A26" s="169" t="s">
        <v>208</v>
      </c>
      <c r="B26" s="170"/>
      <c r="C26" s="170"/>
      <c r="D26" s="171"/>
      <c r="E26" s="46">
        <v>12.8</v>
      </c>
      <c r="F26" s="113">
        <f>E26*F14</f>
        <v>13824</v>
      </c>
    </row>
    <row r="27" spans="1:8" ht="15.75" customHeight="1" x14ac:dyDescent="0.25">
      <c r="A27" s="169" t="s">
        <v>209</v>
      </c>
      <c r="B27" s="170"/>
      <c r="C27" s="170"/>
      <c r="D27" s="171"/>
      <c r="E27" s="46">
        <v>60</v>
      </c>
      <c r="F27" s="113">
        <f>E27*F26</f>
        <v>829440</v>
      </c>
    </row>
    <row r="28" spans="1:8" ht="32.25" customHeight="1" x14ac:dyDescent="0.25">
      <c r="A28" s="169" t="s">
        <v>64</v>
      </c>
      <c r="B28" s="170"/>
      <c r="C28" s="170"/>
      <c r="D28" s="171"/>
      <c r="E28" s="48">
        <v>5.0999999999999997E-2</v>
      </c>
      <c r="F28" s="113">
        <f>E28*F26</f>
        <v>705.024</v>
      </c>
    </row>
    <row r="29" spans="1:8" ht="15.75" x14ac:dyDescent="0.25">
      <c r="A29" s="169" t="s">
        <v>210</v>
      </c>
      <c r="B29" s="170"/>
      <c r="C29" s="170"/>
      <c r="D29" s="171"/>
      <c r="E29" s="46">
        <v>500</v>
      </c>
      <c r="F29" s="113">
        <f>E29*F28</f>
        <v>352512</v>
      </c>
    </row>
    <row r="30" spans="1:8" ht="29.25" customHeight="1" x14ac:dyDescent="0.25">
      <c r="A30" s="169" t="s">
        <v>65</v>
      </c>
      <c r="B30" s="170"/>
      <c r="C30" s="170"/>
      <c r="D30" s="171"/>
      <c r="E30" s="51">
        <v>0.35</v>
      </c>
      <c r="F30" s="114">
        <f>E30*E12</f>
        <v>118803.29999999999</v>
      </c>
    </row>
    <row r="31" spans="1:8" ht="15.75" x14ac:dyDescent="0.25">
      <c r="A31" s="169" t="s">
        <v>2</v>
      </c>
      <c r="B31" s="170"/>
      <c r="C31" s="170"/>
      <c r="D31" s="171"/>
      <c r="E31" s="14"/>
      <c r="F31" s="114">
        <v>4125</v>
      </c>
      <c r="H31" s="87"/>
    </row>
    <row r="32" spans="1:8" ht="15.75" x14ac:dyDescent="0.25">
      <c r="A32" s="169" t="s">
        <v>106</v>
      </c>
      <c r="B32" s="170"/>
      <c r="C32" s="170"/>
      <c r="D32" s="171"/>
      <c r="E32" s="51">
        <v>0.2</v>
      </c>
      <c r="F32" s="114">
        <f>ROUND((F16+F17+F24+F25+F30)*E32,2)</f>
        <v>313790.65000000002</v>
      </c>
    </row>
    <row r="33" spans="1:6" ht="15.75" x14ac:dyDescent="0.25">
      <c r="A33" s="169" t="s">
        <v>20</v>
      </c>
      <c r="B33" s="170"/>
      <c r="C33" s="170"/>
      <c r="D33" s="171"/>
      <c r="E33" s="14"/>
      <c r="F33" s="115">
        <f>F32+F31+F30+F25+F24+F17+F16</f>
        <v>1886868.9017747198</v>
      </c>
    </row>
    <row r="34" spans="1:6" ht="15.75" x14ac:dyDescent="0.25">
      <c r="A34" s="169" t="s">
        <v>26</v>
      </c>
      <c r="B34" s="170"/>
      <c r="C34" s="170"/>
      <c r="D34" s="171"/>
      <c r="E34" s="51">
        <v>0.2</v>
      </c>
      <c r="F34" s="115">
        <f>F33*E34</f>
        <v>377373.780354944</v>
      </c>
    </row>
    <row r="35" spans="1:6" ht="15.75" x14ac:dyDescent="0.25">
      <c r="A35" s="169" t="s">
        <v>1</v>
      </c>
      <c r="B35" s="170"/>
      <c r="C35" s="170"/>
      <c r="D35" s="171"/>
      <c r="E35" s="14"/>
      <c r="F35" s="115">
        <f>F33+F34</f>
        <v>2264242.6821296639</v>
      </c>
    </row>
    <row r="36" spans="1:6" ht="15.75" x14ac:dyDescent="0.25">
      <c r="A36" s="169" t="s">
        <v>27</v>
      </c>
      <c r="B36" s="170"/>
      <c r="C36" s="170"/>
      <c r="D36" s="171"/>
      <c r="E36" s="51">
        <v>0.15</v>
      </c>
      <c r="F36" s="115">
        <f>F35*E36</f>
        <v>339636.40231944958</v>
      </c>
    </row>
    <row r="37" spans="1:6" ht="15.75" x14ac:dyDescent="0.25">
      <c r="A37" s="178" t="s">
        <v>38</v>
      </c>
      <c r="B37" s="178"/>
      <c r="C37" s="178"/>
      <c r="D37" s="178"/>
      <c r="E37" s="51">
        <v>0.01</v>
      </c>
      <c r="F37" s="115">
        <f>(F35+F36)*E37</f>
        <v>26038.790844491134</v>
      </c>
    </row>
    <row r="38" spans="1:6" ht="15.75" x14ac:dyDescent="0.25">
      <c r="A38" s="169" t="s">
        <v>24</v>
      </c>
      <c r="B38" s="170"/>
      <c r="C38" s="170"/>
      <c r="D38" s="171"/>
      <c r="E38" s="14"/>
      <c r="F38" s="115">
        <f>F35+F36+F37</f>
        <v>2629917.8752936046</v>
      </c>
    </row>
    <row r="39" spans="1:6" ht="15.75" x14ac:dyDescent="0.25">
      <c r="A39" s="175" t="s">
        <v>25</v>
      </c>
      <c r="B39" s="176"/>
      <c r="C39" s="176"/>
      <c r="D39" s="177"/>
      <c r="E39" s="14"/>
      <c r="F39" s="115">
        <f>ROUND(F38/F14,0)</f>
        <v>2435</v>
      </c>
    </row>
    <row r="40" spans="1:6" ht="15.75" x14ac:dyDescent="0.25">
      <c r="A40" s="24"/>
      <c r="B40" s="24"/>
      <c r="C40" s="24"/>
      <c r="D40" s="24"/>
      <c r="E40" s="24"/>
      <c r="F40" s="24"/>
    </row>
    <row r="41" spans="1:6" ht="23.25" customHeight="1" x14ac:dyDescent="0.25">
      <c r="A41" s="24" t="s">
        <v>136</v>
      </c>
      <c r="B41" s="24"/>
      <c r="C41" s="24"/>
      <c r="D41" s="24"/>
      <c r="E41" s="67"/>
      <c r="F41" s="67" t="s">
        <v>137</v>
      </c>
    </row>
    <row r="42" spans="1:6" ht="14.25" customHeight="1" x14ac:dyDescent="0.25">
      <c r="A42" s="24"/>
      <c r="B42" s="24"/>
      <c r="C42" s="24"/>
      <c r="D42" s="24"/>
      <c r="E42" s="24"/>
      <c r="F42" s="24"/>
    </row>
  </sheetData>
  <mergeCells count="33">
    <mergeCell ref="A19:D19"/>
    <mergeCell ref="A20:D20"/>
    <mergeCell ref="A21:D21"/>
    <mergeCell ref="A22:D22"/>
    <mergeCell ref="A39:D39"/>
    <mergeCell ref="A26:D26"/>
    <mergeCell ref="A29:D29"/>
    <mergeCell ref="A30:D30"/>
    <mergeCell ref="A31:D31"/>
    <mergeCell ref="A33:D33"/>
    <mergeCell ref="A34:D34"/>
    <mergeCell ref="A27:D27"/>
    <mergeCell ref="A28:D28"/>
    <mergeCell ref="A37:D37"/>
    <mergeCell ref="A32:D32"/>
    <mergeCell ref="A38:D38"/>
    <mergeCell ref="A36:D36"/>
    <mergeCell ref="A8:F8"/>
    <mergeCell ref="A9:F9"/>
    <mergeCell ref="A2:C3"/>
    <mergeCell ref="E2:F3"/>
    <mergeCell ref="A35:D35"/>
    <mergeCell ref="A23:D23"/>
    <mergeCell ref="A24:D24"/>
    <mergeCell ref="A25:D25"/>
    <mergeCell ref="A11:D11"/>
    <mergeCell ref="A15:D15"/>
    <mergeCell ref="A12:D12"/>
    <mergeCell ref="A13:D13"/>
    <mergeCell ref="A14:D14"/>
    <mergeCell ref="A16:D16"/>
    <mergeCell ref="A17:D17"/>
    <mergeCell ref="A18:D18"/>
  </mergeCells>
  <pageMargins left="0.62" right="0.21" top="0.34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>
      <selection activeCell="G3" sqref="G3"/>
    </sheetView>
  </sheetViews>
  <sheetFormatPr defaultRowHeight="15" x14ac:dyDescent="0.25"/>
  <cols>
    <col min="1" max="4" width="9.140625" style="29"/>
    <col min="5" max="5" width="12.42578125" style="29" customWidth="1"/>
    <col min="6" max="6" width="0.42578125" style="29" customWidth="1"/>
    <col min="7" max="7" width="9.140625" style="29"/>
    <col min="8" max="8" width="9.140625" style="29" customWidth="1"/>
    <col min="9" max="9" width="15.42578125" style="29" customWidth="1"/>
    <col min="10" max="16384" width="9.140625" style="29"/>
  </cols>
  <sheetData>
    <row r="1" spans="1:9" ht="15.75" x14ac:dyDescent="0.25">
      <c r="A1" s="1" t="s">
        <v>15</v>
      </c>
      <c r="B1" s="1"/>
      <c r="C1" s="1"/>
      <c r="D1" s="12" t="s">
        <v>155</v>
      </c>
      <c r="E1" s="12"/>
      <c r="F1" s="12"/>
      <c r="G1" s="1" t="s">
        <v>123</v>
      </c>
    </row>
    <row r="2" spans="1:9" ht="33.75" customHeight="1" x14ac:dyDescent="0.25">
      <c r="A2" s="168" t="s">
        <v>150</v>
      </c>
      <c r="B2" s="168"/>
      <c r="C2" s="168"/>
      <c r="D2" s="103" t="s">
        <v>142</v>
      </c>
      <c r="G2" s="168" t="s">
        <v>143</v>
      </c>
      <c r="H2" s="168"/>
      <c r="I2" s="168"/>
    </row>
    <row r="3" spans="1:9" ht="31.5" customHeight="1" x14ac:dyDescent="0.25">
      <c r="A3" s="168"/>
      <c r="B3" s="168"/>
      <c r="C3" s="168"/>
      <c r="D3" s="28"/>
      <c r="G3" s="1"/>
      <c r="H3" s="28"/>
      <c r="I3" s="28"/>
    </row>
    <row r="4" spans="1:9" ht="15.75" x14ac:dyDescent="0.25">
      <c r="A4" s="1" t="s">
        <v>274</v>
      </c>
      <c r="B4" s="1"/>
      <c r="C4" s="1"/>
      <c r="D4" s="12"/>
      <c r="E4" s="12" t="s">
        <v>152</v>
      </c>
      <c r="F4" s="12"/>
      <c r="G4" s="1" t="s">
        <v>154</v>
      </c>
    </row>
    <row r="5" spans="1:9" ht="15.75" x14ac:dyDescent="0.25">
      <c r="A5" s="1" t="s">
        <v>138</v>
      </c>
      <c r="B5" s="1"/>
      <c r="C5" s="1"/>
      <c r="D5" s="12" t="s">
        <v>153</v>
      </c>
      <c r="E5" s="12"/>
      <c r="F5" s="12"/>
    </row>
    <row r="6" spans="1:9" ht="15.75" x14ac:dyDescent="0.25">
      <c r="A6" s="1"/>
      <c r="B6" s="1"/>
      <c r="C6" s="1"/>
      <c r="D6" s="12"/>
      <c r="E6" s="12"/>
      <c r="F6" s="12"/>
      <c r="G6" s="1"/>
    </row>
    <row r="7" spans="1:9" ht="18.75" x14ac:dyDescent="0.3">
      <c r="A7" s="223" t="s">
        <v>71</v>
      </c>
      <c r="B7" s="223"/>
      <c r="C7" s="223"/>
      <c r="D7" s="223"/>
      <c r="E7" s="223"/>
      <c r="F7" s="223"/>
      <c r="G7" s="223"/>
      <c r="H7" s="223"/>
      <c r="I7" s="1"/>
    </row>
    <row r="8" spans="1:9" ht="18.75" x14ac:dyDescent="0.3">
      <c r="A8" s="68" t="s">
        <v>72</v>
      </c>
      <c r="B8" s="68"/>
      <c r="C8" s="68"/>
      <c r="D8" s="68"/>
      <c r="E8" s="68"/>
      <c r="F8" s="68"/>
      <c r="G8" s="68"/>
      <c r="H8" s="68"/>
      <c r="I8" s="1"/>
    </row>
    <row r="9" spans="1:9" ht="18.75" x14ac:dyDescent="0.3">
      <c r="A9" s="2"/>
      <c r="B9" s="68" t="s">
        <v>277</v>
      </c>
      <c r="C9" s="68"/>
      <c r="D9" s="68"/>
      <c r="E9" s="68"/>
      <c r="F9" s="68"/>
      <c r="G9" s="68"/>
      <c r="H9" s="68"/>
      <c r="I9" s="12"/>
    </row>
    <row r="10" spans="1:9" ht="18.75" x14ac:dyDescent="0.3">
      <c r="A10" s="167" t="s">
        <v>73</v>
      </c>
      <c r="B10" s="167"/>
      <c r="C10" s="167"/>
      <c r="D10" s="167"/>
      <c r="E10" s="167"/>
      <c r="F10" s="167"/>
      <c r="G10" s="167"/>
      <c r="H10" s="167"/>
      <c r="I10" s="167"/>
    </row>
    <row r="11" spans="1:9" ht="8.25" customHeight="1" x14ac:dyDescent="0.3">
      <c r="A11" s="69"/>
      <c r="B11" s="69"/>
      <c r="C11" s="69"/>
      <c r="D11" s="69"/>
      <c r="E11" s="69"/>
      <c r="F11" s="69"/>
      <c r="G11" s="69"/>
      <c r="H11" s="69"/>
      <c r="I11" s="69"/>
    </row>
    <row r="12" spans="1:9" x14ac:dyDescent="0.25">
      <c r="A12" s="221"/>
      <c r="B12" s="224"/>
      <c r="C12" s="224"/>
      <c r="D12" s="224"/>
      <c r="E12" s="224"/>
      <c r="F12" s="222"/>
      <c r="G12" s="221" t="s">
        <v>12</v>
      </c>
      <c r="H12" s="222"/>
      <c r="I12" s="3" t="s">
        <v>74</v>
      </c>
    </row>
    <row r="13" spans="1:9" x14ac:dyDescent="0.25">
      <c r="A13" s="218" t="s">
        <v>75</v>
      </c>
      <c r="B13" s="219"/>
      <c r="C13" s="219"/>
      <c r="D13" s="219"/>
      <c r="E13" s="219"/>
      <c r="F13" s="220"/>
      <c r="G13" s="221">
        <v>1973</v>
      </c>
      <c r="H13" s="222"/>
      <c r="I13" s="3"/>
    </row>
    <row r="14" spans="1:9" x14ac:dyDescent="0.25">
      <c r="A14" s="218" t="s">
        <v>76</v>
      </c>
      <c r="B14" s="219"/>
      <c r="C14" s="219"/>
      <c r="D14" s="219"/>
      <c r="E14" s="219"/>
      <c r="F14" s="220"/>
      <c r="G14" s="225">
        <v>12047</v>
      </c>
      <c r="H14" s="226"/>
      <c r="I14" s="3"/>
    </row>
    <row r="15" spans="1:9" x14ac:dyDescent="0.25">
      <c r="A15" s="75" t="s">
        <v>77</v>
      </c>
      <c r="B15" s="76"/>
      <c r="C15" s="76"/>
      <c r="D15" s="76"/>
      <c r="E15" s="76"/>
      <c r="F15" s="77"/>
      <c r="G15" s="78"/>
      <c r="H15" s="79"/>
      <c r="I15" s="63">
        <f>I16+I17+I18+I19+I20</f>
        <v>148.28794743749998</v>
      </c>
    </row>
    <row r="16" spans="1:9" x14ac:dyDescent="0.25">
      <c r="A16" s="221" t="s">
        <v>78</v>
      </c>
      <c r="B16" s="224"/>
      <c r="C16" s="224"/>
      <c r="D16" s="224"/>
      <c r="E16" s="224"/>
      <c r="F16" s="222"/>
      <c r="G16" s="227" t="s">
        <v>101</v>
      </c>
      <c r="H16" s="228"/>
      <c r="I16" s="63">
        <f>ROUND(G14*12/1973,2)</f>
        <v>73.27</v>
      </c>
    </row>
    <row r="17" spans="1:9" x14ac:dyDescent="0.25">
      <c r="A17" s="221" t="s">
        <v>120</v>
      </c>
      <c r="B17" s="224"/>
      <c r="C17" s="224"/>
      <c r="D17" s="224"/>
      <c r="E17" s="224"/>
      <c r="F17" s="222"/>
      <c r="G17" s="229">
        <v>0.25</v>
      </c>
      <c r="H17" s="222"/>
      <c r="I17" s="63">
        <f>I16*G17</f>
        <v>18.317499999999999</v>
      </c>
    </row>
    <row r="18" spans="1:9" x14ac:dyDescent="0.25">
      <c r="A18" s="221" t="s">
        <v>121</v>
      </c>
      <c r="B18" s="224"/>
      <c r="C18" s="224"/>
      <c r="D18" s="224"/>
      <c r="E18" s="224"/>
      <c r="F18" s="222"/>
      <c r="G18" s="229">
        <v>0.3</v>
      </c>
      <c r="H18" s="222"/>
      <c r="I18" s="63">
        <f>(I16+I17+I185)*G18</f>
        <v>27.476249999999997</v>
      </c>
    </row>
    <row r="19" spans="1:9" x14ac:dyDescent="0.25">
      <c r="A19" s="221" t="s">
        <v>79</v>
      </c>
      <c r="B19" s="224"/>
      <c r="C19" s="224"/>
      <c r="D19" s="224"/>
      <c r="E19" s="224"/>
      <c r="F19" s="222"/>
      <c r="G19" s="229">
        <v>0.15</v>
      </c>
      <c r="H19" s="222"/>
      <c r="I19" s="63">
        <f>(I16+I17+I18)*G19</f>
        <v>17.859562499999996</v>
      </c>
    </row>
    <row r="20" spans="1:9" x14ac:dyDescent="0.25">
      <c r="A20" s="221" t="s">
        <v>122</v>
      </c>
      <c r="B20" s="224"/>
      <c r="C20" s="224"/>
      <c r="D20" s="224"/>
      <c r="E20" s="224"/>
      <c r="F20" s="222"/>
      <c r="G20" s="229">
        <v>8.3000000000000004E-2</v>
      </c>
      <c r="H20" s="222"/>
      <c r="I20" s="63">
        <f>(I16+I17+I18+I19)*G20</f>
        <v>11.364634937499998</v>
      </c>
    </row>
    <row r="21" spans="1:9" x14ac:dyDescent="0.25">
      <c r="A21" s="218" t="s">
        <v>80</v>
      </c>
      <c r="B21" s="219"/>
      <c r="C21" s="219"/>
      <c r="D21" s="219"/>
      <c r="E21" s="219"/>
      <c r="F21" s="220"/>
      <c r="G21" s="230">
        <v>0.30199999999999999</v>
      </c>
      <c r="H21" s="222"/>
      <c r="I21" s="63">
        <f>(I16+I17+I18+I19+I20)*30.2%</f>
        <v>44.782960126124991</v>
      </c>
    </row>
    <row r="22" spans="1:9" x14ac:dyDescent="0.25">
      <c r="A22" s="218" t="s">
        <v>81</v>
      </c>
      <c r="B22" s="219"/>
      <c r="C22" s="219"/>
      <c r="D22" s="219"/>
      <c r="E22" s="219"/>
      <c r="F22" s="220"/>
      <c r="G22" s="229">
        <v>0.2</v>
      </c>
      <c r="H22" s="222"/>
      <c r="I22" s="63">
        <f>(I15+I21)*G22</f>
        <v>38.614181512724997</v>
      </c>
    </row>
    <row r="23" spans="1:9" x14ac:dyDescent="0.25">
      <c r="A23" s="218" t="s">
        <v>82</v>
      </c>
      <c r="B23" s="219"/>
      <c r="C23" s="219"/>
      <c r="D23" s="219"/>
      <c r="E23" s="219"/>
      <c r="F23" s="220"/>
      <c r="G23" s="229">
        <v>0.3</v>
      </c>
      <c r="H23" s="222"/>
      <c r="I23" s="63">
        <f>(I15+I21+I22)*G23</f>
        <v>69.505526722904989</v>
      </c>
    </row>
    <row r="24" spans="1:9" x14ac:dyDescent="0.25">
      <c r="A24" s="218" t="s">
        <v>83</v>
      </c>
      <c r="B24" s="219"/>
      <c r="C24" s="219"/>
      <c r="D24" s="219"/>
      <c r="E24" s="219"/>
      <c r="F24" s="220"/>
      <c r="G24" s="229">
        <v>0.01</v>
      </c>
      <c r="H24" s="222"/>
      <c r="I24" s="63">
        <f>(I15+I21+I22+I23)*G24</f>
        <v>3.0119061579925495</v>
      </c>
    </row>
    <row r="25" spans="1:9" x14ac:dyDescent="0.25">
      <c r="A25" s="231" t="s">
        <v>279</v>
      </c>
      <c r="B25" s="232"/>
      <c r="C25" s="232"/>
      <c r="D25" s="232"/>
      <c r="E25" s="232"/>
      <c r="F25" s="233"/>
      <c r="G25" s="221"/>
      <c r="H25" s="222"/>
      <c r="I25" s="159">
        <f>I15+I21+I22+I23+I24</f>
        <v>304.20252195724748</v>
      </c>
    </row>
    <row r="27" spans="1:9" ht="15.75" x14ac:dyDescent="0.25">
      <c r="A27" s="24" t="s">
        <v>136</v>
      </c>
      <c r="B27" s="24"/>
      <c r="C27" s="24"/>
      <c r="D27" s="24"/>
      <c r="E27" s="67"/>
      <c r="I27" s="67" t="s">
        <v>137</v>
      </c>
    </row>
    <row r="30" spans="1:9" x14ac:dyDescent="0.25">
      <c r="A30" s="102"/>
      <c r="B30" s="102"/>
      <c r="C30" s="102"/>
      <c r="D30" s="102"/>
      <c r="E30" s="102"/>
      <c r="F30" s="102"/>
      <c r="G30" s="102"/>
      <c r="H30" s="102"/>
      <c r="I30" s="102"/>
    </row>
    <row r="31" spans="1:9" ht="18.75" customHeight="1" x14ac:dyDescent="0.25">
      <c r="A31" s="102"/>
      <c r="B31" s="102"/>
      <c r="C31" s="102"/>
      <c r="D31" s="102"/>
      <c r="E31" s="102"/>
      <c r="F31" s="102"/>
      <c r="G31" s="102"/>
      <c r="H31" s="102"/>
      <c r="I31" s="102"/>
    </row>
    <row r="32" spans="1:9" ht="18.75" customHeight="1" x14ac:dyDescent="0.25">
      <c r="A32" s="102"/>
      <c r="B32" s="102"/>
      <c r="C32" s="102"/>
      <c r="D32" s="102"/>
      <c r="E32" s="102"/>
      <c r="F32" s="102"/>
      <c r="G32" s="102"/>
      <c r="H32" s="102"/>
      <c r="I32" s="102"/>
    </row>
    <row r="33" spans="1:9" ht="18.75" customHeight="1" x14ac:dyDescent="0.25">
      <c r="A33" s="102"/>
      <c r="B33" s="102"/>
      <c r="C33" s="102"/>
      <c r="D33" s="102"/>
      <c r="E33" s="102"/>
      <c r="F33" s="102"/>
      <c r="G33" s="102"/>
      <c r="H33" s="102"/>
      <c r="I33" s="102"/>
    </row>
    <row r="34" spans="1:9" ht="18.75" customHeight="1" x14ac:dyDescent="0.25">
      <c r="A34" s="102"/>
      <c r="B34" s="102"/>
      <c r="C34" s="102"/>
      <c r="D34" s="102"/>
      <c r="E34" s="102"/>
      <c r="F34" s="102"/>
      <c r="G34" s="102"/>
      <c r="H34" s="102"/>
      <c r="I34" s="102"/>
    </row>
    <row r="35" spans="1:9" ht="18.75" customHeight="1" x14ac:dyDescent="0.25">
      <c r="A35" s="102"/>
      <c r="B35" s="102"/>
      <c r="C35" s="102"/>
      <c r="D35" s="102"/>
      <c r="E35" s="102"/>
      <c r="F35" s="102"/>
      <c r="G35" s="102"/>
      <c r="H35" s="102"/>
      <c r="I35" s="102"/>
    </row>
    <row r="36" spans="1:9" x14ac:dyDescent="0.25">
      <c r="A36" s="102"/>
      <c r="B36" s="102"/>
      <c r="C36" s="102"/>
      <c r="D36" s="102"/>
      <c r="E36" s="102"/>
      <c r="F36" s="102"/>
      <c r="G36" s="102"/>
      <c r="H36" s="102"/>
      <c r="I36" s="102"/>
    </row>
    <row r="37" spans="1:9" x14ac:dyDescent="0.25">
      <c r="A37" s="102"/>
      <c r="B37" s="102"/>
      <c r="C37" s="102"/>
      <c r="D37" s="102"/>
      <c r="E37" s="102"/>
      <c r="F37" s="102"/>
      <c r="G37" s="102"/>
      <c r="H37" s="102"/>
      <c r="I37" s="102"/>
    </row>
    <row r="38" spans="1:9" x14ac:dyDescent="0.25">
      <c r="A38" s="102"/>
      <c r="B38" s="102"/>
      <c r="C38" s="102"/>
      <c r="D38" s="102"/>
      <c r="E38" s="102"/>
      <c r="F38" s="102"/>
      <c r="G38" s="102"/>
      <c r="H38" s="102"/>
      <c r="I38" s="102"/>
    </row>
    <row r="39" spans="1:9" x14ac:dyDescent="0.25">
      <c r="A39" s="102"/>
      <c r="B39" s="102"/>
      <c r="C39" s="102"/>
      <c r="D39" s="102"/>
      <c r="E39" s="102"/>
      <c r="F39" s="102"/>
      <c r="G39" s="102"/>
      <c r="H39" s="102"/>
      <c r="I39" s="102"/>
    </row>
    <row r="40" spans="1:9" x14ac:dyDescent="0.25">
      <c r="A40" s="102"/>
      <c r="B40" s="102"/>
      <c r="C40" s="102"/>
      <c r="D40" s="102"/>
      <c r="E40" s="102"/>
      <c r="F40" s="102"/>
      <c r="G40" s="102"/>
      <c r="H40" s="102"/>
      <c r="I40" s="102"/>
    </row>
    <row r="41" spans="1:9" x14ac:dyDescent="0.25">
      <c r="A41" s="102"/>
      <c r="B41" s="102"/>
      <c r="C41" s="102"/>
      <c r="D41" s="102"/>
      <c r="E41" s="102"/>
      <c r="F41" s="102"/>
      <c r="G41" s="102"/>
      <c r="H41" s="102"/>
      <c r="I41" s="102"/>
    </row>
    <row r="42" spans="1:9" x14ac:dyDescent="0.25">
      <c r="A42" s="102"/>
      <c r="B42" s="102"/>
      <c r="C42" s="102"/>
      <c r="D42" s="102"/>
      <c r="E42" s="102"/>
      <c r="F42" s="102"/>
      <c r="G42" s="102"/>
      <c r="H42" s="102"/>
      <c r="I42" s="102"/>
    </row>
    <row r="43" spans="1:9" x14ac:dyDescent="0.25">
      <c r="A43" s="102"/>
      <c r="B43" s="102"/>
      <c r="C43" s="102"/>
      <c r="D43" s="102"/>
      <c r="E43" s="102"/>
      <c r="F43" s="102"/>
      <c r="G43" s="102"/>
      <c r="H43" s="102"/>
      <c r="I43" s="102"/>
    </row>
    <row r="44" spans="1:9" x14ac:dyDescent="0.25">
      <c r="A44" s="102"/>
      <c r="B44" s="102"/>
      <c r="C44" s="102"/>
      <c r="D44" s="102"/>
      <c r="E44" s="102"/>
      <c r="F44" s="102"/>
      <c r="G44" s="102"/>
      <c r="H44" s="102"/>
      <c r="I44" s="102"/>
    </row>
    <row r="45" spans="1:9" x14ac:dyDescent="0.25">
      <c r="A45" s="102"/>
      <c r="B45" s="102"/>
      <c r="C45" s="102"/>
      <c r="D45" s="102"/>
      <c r="E45" s="102"/>
      <c r="F45" s="102"/>
      <c r="G45" s="102"/>
      <c r="H45" s="102"/>
      <c r="I45" s="102"/>
    </row>
    <row r="46" spans="1:9" x14ac:dyDescent="0.25">
      <c r="A46" s="102"/>
      <c r="B46" s="102"/>
      <c r="C46" s="102"/>
      <c r="D46" s="102"/>
      <c r="E46" s="102"/>
      <c r="F46" s="102"/>
      <c r="G46" s="102"/>
      <c r="H46" s="102"/>
      <c r="I46" s="102"/>
    </row>
    <row r="47" spans="1:9" x14ac:dyDescent="0.25">
      <c r="A47" s="102"/>
      <c r="B47" s="102"/>
      <c r="C47" s="102"/>
      <c r="D47" s="102"/>
      <c r="E47" s="102"/>
      <c r="F47" s="102"/>
      <c r="G47" s="102"/>
      <c r="H47" s="102"/>
      <c r="I47" s="102"/>
    </row>
    <row r="48" spans="1:9" x14ac:dyDescent="0.25">
      <c r="A48" s="102"/>
      <c r="B48" s="102"/>
      <c r="C48" s="102"/>
      <c r="D48" s="102"/>
      <c r="E48" s="102"/>
      <c r="F48" s="102"/>
      <c r="G48" s="102"/>
      <c r="H48" s="102"/>
      <c r="I48" s="102"/>
    </row>
    <row r="49" spans="1:9" x14ac:dyDescent="0.25">
      <c r="A49" s="102"/>
      <c r="B49" s="102"/>
      <c r="C49" s="102"/>
      <c r="D49" s="102"/>
      <c r="E49" s="102"/>
      <c r="F49" s="102"/>
      <c r="G49" s="102"/>
      <c r="H49" s="102"/>
      <c r="I49" s="102"/>
    </row>
    <row r="50" spans="1:9" x14ac:dyDescent="0.25">
      <c r="A50" s="102"/>
      <c r="B50" s="102"/>
      <c r="C50" s="102"/>
      <c r="D50" s="102"/>
      <c r="E50" s="102"/>
      <c r="F50" s="102"/>
      <c r="G50" s="102"/>
      <c r="H50" s="102"/>
      <c r="I50" s="102"/>
    </row>
    <row r="51" spans="1:9" x14ac:dyDescent="0.25">
      <c r="A51" s="102"/>
      <c r="B51" s="102"/>
      <c r="C51" s="102"/>
      <c r="D51" s="102"/>
      <c r="E51" s="102"/>
      <c r="F51" s="102"/>
      <c r="G51" s="102"/>
      <c r="H51" s="102"/>
      <c r="I51" s="102"/>
    </row>
  </sheetData>
  <mergeCells count="30">
    <mergeCell ref="A21:F21"/>
    <mergeCell ref="G21:H21"/>
    <mergeCell ref="A22:F22"/>
    <mergeCell ref="G22:H22"/>
    <mergeCell ref="A25:F25"/>
    <mergeCell ref="G25:H25"/>
    <mergeCell ref="A23:F23"/>
    <mergeCell ref="G23:H23"/>
    <mergeCell ref="A24:F24"/>
    <mergeCell ref="G24:H24"/>
    <mergeCell ref="A18:F18"/>
    <mergeCell ref="G18:H18"/>
    <mergeCell ref="A19:F19"/>
    <mergeCell ref="G19:H19"/>
    <mergeCell ref="A20:F20"/>
    <mergeCell ref="G20:H20"/>
    <mergeCell ref="A14:F14"/>
    <mergeCell ref="G14:H14"/>
    <mergeCell ref="A16:F16"/>
    <mergeCell ref="G16:H16"/>
    <mergeCell ref="A17:F17"/>
    <mergeCell ref="G17:H17"/>
    <mergeCell ref="A2:C3"/>
    <mergeCell ref="G2:I2"/>
    <mergeCell ref="A13:F13"/>
    <mergeCell ref="G13:H13"/>
    <mergeCell ref="A7:H7"/>
    <mergeCell ref="A10:I10"/>
    <mergeCell ref="A12:F12"/>
    <mergeCell ref="G12:H1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G3" sqref="G3"/>
    </sheetView>
  </sheetViews>
  <sheetFormatPr defaultRowHeight="15" x14ac:dyDescent="0.25"/>
  <cols>
    <col min="1" max="4" width="9.140625" style="29"/>
    <col min="5" max="5" width="12.42578125" style="29" customWidth="1"/>
    <col min="6" max="6" width="0.42578125" style="29" customWidth="1"/>
    <col min="7" max="7" width="9.140625" style="29"/>
    <col min="8" max="8" width="9.140625" style="29" customWidth="1"/>
    <col min="9" max="9" width="16.140625" style="29" customWidth="1"/>
    <col min="10" max="10" width="8.7109375" style="29" customWidth="1"/>
    <col min="11" max="16384" width="9.140625" style="29"/>
  </cols>
  <sheetData>
    <row r="1" spans="1:10" ht="15.75" x14ac:dyDescent="0.25">
      <c r="A1" s="1" t="s">
        <v>15</v>
      </c>
      <c r="B1" s="1"/>
      <c r="C1" s="1"/>
      <c r="D1" s="12" t="s">
        <v>155</v>
      </c>
      <c r="E1" s="12"/>
      <c r="F1" s="12"/>
      <c r="G1" s="1" t="s">
        <v>123</v>
      </c>
    </row>
    <row r="2" spans="1:10" ht="33" customHeight="1" x14ac:dyDescent="0.3">
      <c r="A2" s="168" t="s">
        <v>150</v>
      </c>
      <c r="B2" s="168"/>
      <c r="C2" s="168"/>
      <c r="D2" s="103" t="s">
        <v>142</v>
      </c>
      <c r="G2" s="168" t="s">
        <v>143</v>
      </c>
      <c r="H2" s="168"/>
      <c r="I2" s="168"/>
      <c r="J2" s="143"/>
    </row>
    <row r="3" spans="1:10" ht="32.25" customHeight="1" x14ac:dyDescent="0.3">
      <c r="A3" s="168"/>
      <c r="B3" s="168"/>
      <c r="C3" s="168"/>
      <c r="D3" s="28"/>
      <c r="G3" s="1"/>
      <c r="H3" s="28"/>
      <c r="I3" s="28"/>
      <c r="J3" s="144"/>
    </row>
    <row r="4" spans="1:10" ht="15.75" x14ac:dyDescent="0.25">
      <c r="A4" s="1" t="s">
        <v>274</v>
      </c>
      <c r="B4" s="1"/>
      <c r="C4" s="1"/>
      <c r="D4" s="12"/>
      <c r="E4" s="12" t="s">
        <v>152</v>
      </c>
      <c r="F4" s="12"/>
      <c r="G4" s="1" t="s">
        <v>154</v>
      </c>
      <c r="J4" s="162"/>
    </row>
    <row r="5" spans="1:10" ht="15.75" x14ac:dyDescent="0.25">
      <c r="A5" s="1" t="s">
        <v>138</v>
      </c>
      <c r="B5" s="1"/>
      <c r="C5" s="1"/>
      <c r="D5" s="12" t="s">
        <v>153</v>
      </c>
      <c r="E5" s="12"/>
      <c r="F5" s="12"/>
      <c r="J5" s="162"/>
    </row>
    <row r="6" spans="1:10" ht="15.75" x14ac:dyDescent="0.25">
      <c r="A6" s="1"/>
      <c r="B6" s="1"/>
      <c r="C6" s="1"/>
      <c r="D6" s="12"/>
      <c r="E6" s="12"/>
      <c r="F6" s="12"/>
      <c r="G6" s="1"/>
      <c r="J6" s="162"/>
    </row>
    <row r="7" spans="1:10" ht="18.75" x14ac:dyDescent="0.3">
      <c r="A7" s="223" t="s">
        <v>71</v>
      </c>
      <c r="B7" s="223"/>
      <c r="C7" s="223"/>
      <c r="D7" s="223"/>
      <c r="E7" s="223"/>
      <c r="F7" s="223"/>
      <c r="G7" s="223"/>
      <c r="H7" s="223"/>
      <c r="I7" s="1"/>
      <c r="J7" s="163"/>
    </row>
    <row r="8" spans="1:10" ht="18.75" x14ac:dyDescent="0.3">
      <c r="A8" s="166" t="s">
        <v>278</v>
      </c>
      <c r="B8" s="166"/>
      <c r="C8" s="166"/>
      <c r="D8" s="166"/>
      <c r="E8" s="166"/>
      <c r="F8" s="166"/>
      <c r="G8" s="166"/>
      <c r="H8" s="166"/>
      <c r="I8" s="166"/>
      <c r="J8" s="162"/>
    </row>
    <row r="9" spans="1:10" ht="18.75" x14ac:dyDescent="0.3">
      <c r="A9" s="167" t="s">
        <v>73</v>
      </c>
      <c r="B9" s="167"/>
      <c r="C9" s="167"/>
      <c r="D9" s="167"/>
      <c r="E9" s="167"/>
      <c r="F9" s="167"/>
      <c r="G9" s="167"/>
      <c r="H9" s="167"/>
      <c r="I9" s="167"/>
      <c r="J9" s="162"/>
    </row>
    <row r="10" spans="1:10" ht="18.75" x14ac:dyDescent="0.3">
      <c r="A10" s="69"/>
      <c r="B10" s="69"/>
      <c r="C10" s="69"/>
      <c r="D10" s="69"/>
      <c r="E10" s="69"/>
      <c r="F10" s="69"/>
      <c r="G10" s="69"/>
      <c r="H10" s="69"/>
      <c r="I10" s="69"/>
      <c r="J10" s="163"/>
    </row>
    <row r="11" spans="1:10" x14ac:dyDescent="0.25">
      <c r="A11" s="221"/>
      <c r="B11" s="224"/>
      <c r="C11" s="224"/>
      <c r="D11" s="224"/>
      <c r="E11" s="224"/>
      <c r="F11" s="222"/>
      <c r="G11" s="221" t="s">
        <v>12</v>
      </c>
      <c r="H11" s="222"/>
      <c r="I11" s="3" t="s">
        <v>74</v>
      </c>
      <c r="J11" s="163"/>
    </row>
    <row r="12" spans="1:10" x14ac:dyDescent="0.25">
      <c r="A12" s="218" t="s">
        <v>75</v>
      </c>
      <c r="B12" s="219"/>
      <c r="C12" s="219"/>
      <c r="D12" s="219"/>
      <c r="E12" s="219"/>
      <c r="F12" s="220"/>
      <c r="G12" s="221">
        <v>1973</v>
      </c>
      <c r="H12" s="222"/>
      <c r="I12" s="3"/>
      <c r="J12" s="163"/>
    </row>
    <row r="13" spans="1:10" x14ac:dyDescent="0.25">
      <c r="A13" s="218" t="s">
        <v>76</v>
      </c>
      <c r="B13" s="219"/>
      <c r="C13" s="219"/>
      <c r="D13" s="219"/>
      <c r="E13" s="219"/>
      <c r="F13" s="220"/>
      <c r="G13" s="225">
        <v>12047</v>
      </c>
      <c r="H13" s="226"/>
      <c r="I13" s="3"/>
      <c r="J13" s="163"/>
    </row>
    <row r="14" spans="1:10" x14ac:dyDescent="0.25">
      <c r="A14" s="135" t="s">
        <v>77</v>
      </c>
      <c r="B14" s="136"/>
      <c r="C14" s="136"/>
      <c r="D14" s="136"/>
      <c r="E14" s="136"/>
      <c r="F14" s="137"/>
      <c r="G14" s="133"/>
      <c r="H14" s="134"/>
      <c r="I14" s="63">
        <f>I15+I16+I17+I18+I19</f>
        <v>148.28794743749998</v>
      </c>
      <c r="J14" s="164"/>
    </row>
    <row r="15" spans="1:10" x14ac:dyDescent="0.25">
      <c r="A15" s="221" t="s">
        <v>78</v>
      </c>
      <c r="B15" s="224"/>
      <c r="C15" s="224"/>
      <c r="D15" s="224"/>
      <c r="E15" s="224"/>
      <c r="F15" s="222"/>
      <c r="G15" s="227" t="s">
        <v>101</v>
      </c>
      <c r="H15" s="228"/>
      <c r="I15" s="63">
        <f>ROUND(G13*12/1973,2)</f>
        <v>73.27</v>
      </c>
      <c r="J15" s="67"/>
    </row>
    <row r="16" spans="1:10" x14ac:dyDescent="0.25">
      <c r="A16" s="221" t="s">
        <v>120</v>
      </c>
      <c r="B16" s="224"/>
      <c r="C16" s="224"/>
      <c r="D16" s="224"/>
      <c r="E16" s="224"/>
      <c r="F16" s="222"/>
      <c r="G16" s="229">
        <v>0.25</v>
      </c>
      <c r="H16" s="222"/>
      <c r="I16" s="63">
        <f>I15*G16</f>
        <v>18.317499999999999</v>
      </c>
      <c r="J16" s="67"/>
    </row>
    <row r="17" spans="1:10" x14ac:dyDescent="0.25">
      <c r="A17" s="221" t="s">
        <v>121</v>
      </c>
      <c r="B17" s="224"/>
      <c r="C17" s="224"/>
      <c r="D17" s="224"/>
      <c r="E17" s="224"/>
      <c r="F17" s="222"/>
      <c r="G17" s="229">
        <v>0.3</v>
      </c>
      <c r="H17" s="222"/>
      <c r="I17" s="63">
        <f>(I15+I16+I184)*G17</f>
        <v>27.476249999999997</v>
      </c>
    </row>
    <row r="18" spans="1:10" x14ac:dyDescent="0.25">
      <c r="A18" s="221" t="s">
        <v>79</v>
      </c>
      <c r="B18" s="224"/>
      <c r="C18" s="224"/>
      <c r="D18" s="224"/>
      <c r="E18" s="224"/>
      <c r="F18" s="222"/>
      <c r="G18" s="229">
        <v>0.15</v>
      </c>
      <c r="H18" s="222"/>
      <c r="I18" s="63">
        <f>(I15+I16+I17)*G18</f>
        <v>17.859562499999996</v>
      </c>
    </row>
    <row r="19" spans="1:10" x14ac:dyDescent="0.25">
      <c r="A19" s="221" t="s">
        <v>122</v>
      </c>
      <c r="B19" s="224"/>
      <c r="C19" s="224"/>
      <c r="D19" s="224"/>
      <c r="E19" s="224"/>
      <c r="F19" s="222"/>
      <c r="G19" s="229">
        <v>8.3000000000000004E-2</v>
      </c>
      <c r="H19" s="222"/>
      <c r="I19" s="63">
        <f>(I15+I16+I17+I18)*G19</f>
        <v>11.364634937499998</v>
      </c>
      <c r="J19" s="102"/>
    </row>
    <row r="20" spans="1:10" ht="18.75" customHeight="1" x14ac:dyDescent="0.25">
      <c r="A20" s="218" t="s">
        <v>80</v>
      </c>
      <c r="B20" s="219"/>
      <c r="C20" s="219"/>
      <c r="D20" s="219"/>
      <c r="E20" s="219"/>
      <c r="F20" s="220"/>
      <c r="G20" s="230">
        <v>0.36199999999999999</v>
      </c>
      <c r="H20" s="222"/>
      <c r="I20" s="63">
        <f>(I15+I16+I17+I18+I19)*36.2%</f>
        <v>53.680236972374999</v>
      </c>
      <c r="J20" s="102"/>
    </row>
    <row r="21" spans="1:10" ht="18.75" customHeight="1" x14ac:dyDescent="0.25">
      <c r="A21" s="218" t="s">
        <v>81</v>
      </c>
      <c r="B21" s="219"/>
      <c r="C21" s="219"/>
      <c r="D21" s="219"/>
      <c r="E21" s="219"/>
      <c r="F21" s="220"/>
      <c r="G21" s="229">
        <v>0.75</v>
      </c>
      <c r="H21" s="222"/>
      <c r="I21" s="63">
        <f>(I14+I20)*G21</f>
        <v>151.47613830740625</v>
      </c>
      <c r="J21" s="102"/>
    </row>
    <row r="22" spans="1:10" ht="18.75" customHeight="1" x14ac:dyDescent="0.25">
      <c r="A22" s="218" t="s">
        <v>82</v>
      </c>
      <c r="B22" s="219"/>
      <c r="C22" s="219"/>
      <c r="D22" s="219"/>
      <c r="E22" s="219"/>
      <c r="F22" s="220"/>
      <c r="G22" s="229">
        <v>0.4</v>
      </c>
      <c r="H22" s="222"/>
      <c r="I22" s="63">
        <f>(I14+I20+I21)*G22</f>
        <v>141.3777290869125</v>
      </c>
      <c r="J22" s="102"/>
    </row>
    <row r="23" spans="1:10" ht="18.75" customHeight="1" x14ac:dyDescent="0.25">
      <c r="A23" s="218" t="s">
        <v>83</v>
      </c>
      <c r="B23" s="219"/>
      <c r="C23" s="219"/>
      <c r="D23" s="219"/>
      <c r="E23" s="219"/>
      <c r="F23" s="220"/>
      <c r="G23" s="229">
        <v>0.01</v>
      </c>
      <c r="H23" s="222"/>
      <c r="I23" s="63">
        <f>(I14+I20+I21+I22)*G23</f>
        <v>4.9482205180419374</v>
      </c>
      <c r="J23" s="102"/>
    </row>
    <row r="24" spans="1:10" ht="18.75" customHeight="1" x14ac:dyDescent="0.25">
      <c r="A24" s="231" t="s">
        <v>273</v>
      </c>
      <c r="B24" s="232"/>
      <c r="C24" s="232"/>
      <c r="D24" s="232"/>
      <c r="E24" s="232"/>
      <c r="F24" s="233"/>
      <c r="G24" s="221"/>
      <c r="H24" s="222"/>
      <c r="I24" s="159">
        <f>I14+I20+I21+I22+I23</f>
        <v>499.77027232223566</v>
      </c>
      <c r="J24" s="102"/>
    </row>
    <row r="25" spans="1:10" x14ac:dyDescent="0.25">
      <c r="J25" s="102"/>
    </row>
    <row r="26" spans="1:10" ht="15.75" x14ac:dyDescent="0.25">
      <c r="A26" s="24"/>
      <c r="B26" s="24"/>
      <c r="C26" s="24"/>
      <c r="D26" s="24"/>
      <c r="E26" s="67"/>
      <c r="I26" s="67"/>
      <c r="J26" s="102"/>
    </row>
    <row r="27" spans="1:10" x14ac:dyDescent="0.25">
      <c r="J27" s="102"/>
    </row>
    <row r="28" spans="1:10" x14ac:dyDescent="0.25">
      <c r="J28" s="102"/>
    </row>
    <row r="29" spans="1:10" x14ac:dyDescent="0.25">
      <c r="A29" s="102"/>
      <c r="B29" s="102"/>
      <c r="C29" s="102"/>
      <c r="D29" s="102"/>
      <c r="E29" s="102"/>
      <c r="F29" s="102"/>
      <c r="G29" s="102"/>
      <c r="H29" s="102"/>
      <c r="I29" s="102"/>
      <c r="J29" s="102"/>
    </row>
    <row r="30" spans="1:10" x14ac:dyDescent="0.25">
      <c r="A30" s="102"/>
      <c r="B30" s="102"/>
      <c r="C30" s="102"/>
      <c r="D30" s="102"/>
      <c r="E30" s="102"/>
      <c r="F30" s="102"/>
      <c r="G30" s="102"/>
      <c r="H30" s="102"/>
      <c r="I30" s="102"/>
      <c r="J30" s="102"/>
    </row>
    <row r="31" spans="1:10" x14ac:dyDescent="0.25">
      <c r="A31" s="102"/>
      <c r="B31" s="102"/>
      <c r="C31" s="102"/>
      <c r="D31" s="102"/>
      <c r="E31" s="102"/>
      <c r="F31" s="102"/>
      <c r="G31" s="102"/>
      <c r="H31" s="102"/>
      <c r="I31" s="102"/>
      <c r="J31" s="102"/>
    </row>
    <row r="32" spans="1:10" x14ac:dyDescent="0.25">
      <c r="A32" s="102"/>
      <c r="B32" s="102"/>
      <c r="C32" s="102"/>
      <c r="D32" s="102"/>
      <c r="E32" s="102"/>
      <c r="F32" s="102"/>
      <c r="G32" s="102"/>
      <c r="H32" s="102"/>
      <c r="I32" s="102"/>
      <c r="J32" s="102"/>
    </row>
    <row r="33" spans="1:10" x14ac:dyDescent="0.25">
      <c r="A33" s="102"/>
      <c r="B33" s="102"/>
      <c r="C33" s="102"/>
      <c r="D33" s="102"/>
      <c r="E33" s="102"/>
      <c r="F33" s="102"/>
      <c r="G33" s="102"/>
      <c r="H33" s="102"/>
      <c r="I33" s="102"/>
      <c r="J33" s="102"/>
    </row>
    <row r="34" spans="1:10" x14ac:dyDescent="0.25">
      <c r="A34" s="102"/>
      <c r="B34" s="102"/>
      <c r="C34" s="102"/>
      <c r="D34" s="102"/>
      <c r="E34" s="102"/>
      <c r="F34" s="102"/>
      <c r="G34" s="102"/>
      <c r="H34" s="102"/>
      <c r="I34" s="102"/>
      <c r="J34" s="102"/>
    </row>
    <row r="35" spans="1:10" x14ac:dyDescent="0.25">
      <c r="A35" s="102"/>
      <c r="B35" s="102"/>
      <c r="C35" s="102"/>
      <c r="D35" s="102"/>
      <c r="E35" s="102"/>
      <c r="F35" s="102"/>
      <c r="G35" s="102"/>
      <c r="H35" s="102"/>
      <c r="I35" s="102"/>
      <c r="J35" s="102"/>
    </row>
    <row r="36" spans="1:10" x14ac:dyDescent="0.25">
      <c r="A36" s="102"/>
      <c r="B36" s="102"/>
      <c r="C36" s="102"/>
      <c r="D36" s="102"/>
      <c r="E36" s="102"/>
      <c r="F36" s="102"/>
      <c r="G36" s="102"/>
      <c r="H36" s="102"/>
      <c r="I36" s="102"/>
      <c r="J36" s="102"/>
    </row>
    <row r="37" spans="1:10" x14ac:dyDescent="0.25">
      <c r="A37" s="102"/>
      <c r="B37" s="102"/>
      <c r="C37" s="102"/>
      <c r="D37" s="102"/>
      <c r="E37" s="102"/>
      <c r="F37" s="102"/>
      <c r="G37" s="102"/>
      <c r="H37" s="102"/>
      <c r="I37" s="102"/>
      <c r="J37" s="102"/>
    </row>
    <row r="38" spans="1:10" x14ac:dyDescent="0.25">
      <c r="A38" s="102"/>
      <c r="B38" s="102"/>
      <c r="C38" s="102"/>
      <c r="D38" s="102"/>
      <c r="E38" s="102"/>
      <c r="F38" s="102"/>
      <c r="G38" s="102"/>
      <c r="H38" s="102"/>
      <c r="I38" s="102"/>
      <c r="J38" s="102"/>
    </row>
    <row r="39" spans="1:10" x14ac:dyDescent="0.25">
      <c r="A39" s="102"/>
      <c r="B39" s="102"/>
      <c r="C39" s="102"/>
      <c r="D39" s="102"/>
      <c r="E39" s="102"/>
      <c r="F39" s="102"/>
      <c r="G39" s="102"/>
      <c r="H39" s="102"/>
      <c r="I39" s="102"/>
      <c r="J39" s="102"/>
    </row>
    <row r="40" spans="1:10" x14ac:dyDescent="0.25">
      <c r="A40" s="102"/>
      <c r="B40" s="102"/>
      <c r="C40" s="102"/>
      <c r="D40" s="102"/>
      <c r="E40" s="102"/>
      <c r="F40" s="102"/>
      <c r="G40" s="102"/>
      <c r="H40" s="102"/>
      <c r="I40" s="102"/>
      <c r="J40" s="102"/>
    </row>
    <row r="41" spans="1:10" x14ac:dyDescent="0.25">
      <c r="A41" s="102"/>
      <c r="B41" s="102"/>
      <c r="C41" s="102"/>
      <c r="D41" s="102"/>
      <c r="E41" s="102"/>
      <c r="F41" s="102"/>
      <c r="G41" s="102"/>
      <c r="H41" s="102"/>
      <c r="I41" s="102"/>
    </row>
    <row r="42" spans="1:10" x14ac:dyDescent="0.25">
      <c r="A42" s="102"/>
      <c r="B42" s="102"/>
      <c r="C42" s="102"/>
      <c r="D42" s="102"/>
      <c r="E42" s="102"/>
      <c r="F42" s="102"/>
      <c r="G42" s="102"/>
      <c r="H42" s="102"/>
      <c r="I42" s="102"/>
    </row>
    <row r="43" spans="1:10" x14ac:dyDescent="0.25">
      <c r="A43" s="102"/>
      <c r="B43" s="102"/>
      <c r="C43" s="102"/>
      <c r="D43" s="102"/>
      <c r="E43" s="102"/>
      <c r="F43" s="102"/>
      <c r="G43" s="102"/>
      <c r="H43" s="102"/>
      <c r="I43" s="102"/>
    </row>
    <row r="44" spans="1:10" x14ac:dyDescent="0.25">
      <c r="A44" s="102"/>
      <c r="B44" s="102"/>
      <c r="C44" s="102"/>
      <c r="D44" s="102"/>
      <c r="E44" s="102"/>
      <c r="F44" s="102"/>
      <c r="G44" s="102"/>
      <c r="H44" s="102"/>
      <c r="I44" s="102"/>
    </row>
    <row r="45" spans="1:10" x14ac:dyDescent="0.25">
      <c r="A45" s="102"/>
      <c r="B45" s="102"/>
      <c r="C45" s="102"/>
      <c r="D45" s="102"/>
      <c r="E45" s="102"/>
      <c r="F45" s="102"/>
      <c r="G45" s="102"/>
      <c r="H45" s="102"/>
      <c r="I45" s="102"/>
    </row>
    <row r="46" spans="1:10" x14ac:dyDescent="0.25">
      <c r="A46" s="102"/>
      <c r="B46" s="102"/>
      <c r="C46" s="102"/>
      <c r="D46" s="102"/>
      <c r="E46" s="102"/>
      <c r="F46" s="102"/>
      <c r="G46" s="102"/>
      <c r="H46" s="102"/>
      <c r="I46" s="102"/>
    </row>
    <row r="47" spans="1:10" x14ac:dyDescent="0.25">
      <c r="A47" s="102"/>
      <c r="B47" s="102"/>
      <c r="C47" s="102"/>
      <c r="D47" s="102"/>
      <c r="E47" s="102"/>
      <c r="F47" s="102"/>
      <c r="G47" s="102"/>
      <c r="H47" s="102"/>
      <c r="I47" s="102"/>
    </row>
    <row r="48" spans="1:10" x14ac:dyDescent="0.25">
      <c r="A48" s="102"/>
      <c r="B48" s="102"/>
      <c r="C48" s="102"/>
      <c r="D48" s="102"/>
      <c r="E48" s="102"/>
      <c r="F48" s="102"/>
      <c r="G48" s="102"/>
      <c r="H48" s="102"/>
      <c r="I48" s="102"/>
    </row>
    <row r="49" spans="1:9" x14ac:dyDescent="0.25">
      <c r="A49" s="102"/>
      <c r="B49" s="102"/>
      <c r="C49" s="102"/>
      <c r="D49" s="102"/>
      <c r="E49" s="102"/>
      <c r="F49" s="102"/>
      <c r="G49" s="102"/>
      <c r="H49" s="102"/>
      <c r="I49" s="102"/>
    </row>
    <row r="50" spans="1:9" x14ac:dyDescent="0.25">
      <c r="A50" s="102"/>
      <c r="B50" s="102"/>
      <c r="C50" s="102"/>
      <c r="D50" s="102"/>
      <c r="E50" s="102"/>
      <c r="F50" s="102"/>
      <c r="G50" s="102"/>
      <c r="H50" s="102"/>
      <c r="I50" s="102"/>
    </row>
  </sheetData>
  <mergeCells count="31">
    <mergeCell ref="A24:F24"/>
    <mergeCell ref="G24:H24"/>
    <mergeCell ref="A21:F21"/>
    <mergeCell ref="G21:H21"/>
    <mergeCell ref="A22:F22"/>
    <mergeCell ref="G22:H22"/>
    <mergeCell ref="A23:F23"/>
    <mergeCell ref="G23:H23"/>
    <mergeCell ref="A18:F18"/>
    <mergeCell ref="G18:H18"/>
    <mergeCell ref="A19:F19"/>
    <mergeCell ref="G19:H19"/>
    <mergeCell ref="A20:F20"/>
    <mergeCell ref="G20:H20"/>
    <mergeCell ref="A16:F16"/>
    <mergeCell ref="G16:H16"/>
    <mergeCell ref="A9:I9"/>
    <mergeCell ref="A17:F17"/>
    <mergeCell ref="G17:H17"/>
    <mergeCell ref="A12:F12"/>
    <mergeCell ref="G12:H12"/>
    <mergeCell ref="A13:F13"/>
    <mergeCell ref="G13:H13"/>
    <mergeCell ref="A15:F15"/>
    <mergeCell ref="G15:H15"/>
    <mergeCell ref="A2:C3"/>
    <mergeCell ref="G2:I2"/>
    <mergeCell ref="A7:H7"/>
    <mergeCell ref="A8:I8"/>
    <mergeCell ref="A11:F11"/>
    <mergeCell ref="G11:H1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L14" sqref="L14"/>
    </sheetView>
  </sheetViews>
  <sheetFormatPr defaultRowHeight="15" x14ac:dyDescent="0.25"/>
  <cols>
    <col min="1" max="4" width="9.140625" style="29"/>
    <col min="5" max="5" width="12.42578125" style="29" customWidth="1"/>
    <col min="6" max="6" width="0.42578125" style="29" customWidth="1"/>
    <col min="7" max="7" width="9.140625" style="29"/>
    <col min="8" max="8" width="9.140625" style="29" customWidth="1"/>
    <col min="9" max="9" width="16.140625" style="29" customWidth="1"/>
    <col min="10" max="10" width="8.7109375" style="29" customWidth="1"/>
    <col min="11" max="16384" width="9.140625" style="29"/>
  </cols>
  <sheetData>
    <row r="1" spans="1:10" ht="15.75" x14ac:dyDescent="0.25">
      <c r="A1" s="1" t="s">
        <v>15</v>
      </c>
      <c r="B1" s="1"/>
      <c r="C1" s="1"/>
      <c r="D1" s="12" t="s">
        <v>155</v>
      </c>
      <c r="E1" s="12"/>
      <c r="F1" s="12"/>
      <c r="G1" s="1" t="s">
        <v>123</v>
      </c>
    </row>
    <row r="2" spans="1:10" ht="33" customHeight="1" x14ac:dyDescent="0.3">
      <c r="A2" s="168" t="s">
        <v>150</v>
      </c>
      <c r="B2" s="168"/>
      <c r="C2" s="168"/>
      <c r="D2" s="103" t="s">
        <v>142</v>
      </c>
      <c r="G2" s="168" t="s">
        <v>143</v>
      </c>
      <c r="H2" s="168"/>
      <c r="I2" s="168"/>
      <c r="J2" s="152"/>
    </row>
    <row r="3" spans="1:10" ht="32.25" customHeight="1" x14ac:dyDescent="0.3">
      <c r="A3" s="168"/>
      <c r="B3" s="168"/>
      <c r="C3" s="168"/>
      <c r="D3" s="28"/>
      <c r="G3" s="1"/>
      <c r="H3" s="28"/>
      <c r="I3" s="28"/>
      <c r="J3" s="153"/>
    </row>
    <row r="4" spans="1:10" ht="15.75" x14ac:dyDescent="0.25">
      <c r="A4" s="1" t="s">
        <v>274</v>
      </c>
      <c r="B4" s="1"/>
      <c r="C4" s="1"/>
      <c r="D4" s="12"/>
      <c r="E4" s="12" t="s">
        <v>152</v>
      </c>
      <c r="F4" s="12"/>
      <c r="G4" s="1" t="s">
        <v>154</v>
      </c>
      <c r="J4" s="162"/>
    </row>
    <row r="5" spans="1:10" ht="15.75" x14ac:dyDescent="0.25">
      <c r="A5" s="1" t="s">
        <v>138</v>
      </c>
      <c r="B5" s="1"/>
      <c r="C5" s="1"/>
      <c r="D5" s="12" t="s">
        <v>153</v>
      </c>
      <c r="E5" s="12"/>
      <c r="F5" s="12"/>
      <c r="J5" s="162"/>
    </row>
    <row r="6" spans="1:10" ht="15.75" x14ac:dyDescent="0.25">
      <c r="A6" s="1"/>
      <c r="B6" s="1"/>
      <c r="C6" s="1"/>
      <c r="D6" s="12"/>
      <c r="E6" s="12"/>
      <c r="F6" s="12"/>
      <c r="G6" s="1"/>
      <c r="J6" s="162"/>
    </row>
    <row r="7" spans="1:10" ht="18.75" x14ac:dyDescent="0.3">
      <c r="A7" s="223" t="s">
        <v>71</v>
      </c>
      <c r="B7" s="223"/>
      <c r="C7" s="223"/>
      <c r="D7" s="223"/>
      <c r="E7" s="223"/>
      <c r="F7" s="223"/>
      <c r="G7" s="223"/>
      <c r="H7" s="223"/>
      <c r="I7" s="1"/>
      <c r="J7" s="163"/>
    </row>
    <row r="8" spans="1:10" ht="18.75" x14ac:dyDescent="0.3">
      <c r="A8" s="166" t="s">
        <v>276</v>
      </c>
      <c r="B8" s="166"/>
      <c r="C8" s="166"/>
      <c r="D8" s="166"/>
      <c r="E8" s="166"/>
      <c r="F8" s="166"/>
      <c r="G8" s="166"/>
      <c r="H8" s="166"/>
      <c r="I8" s="166"/>
      <c r="J8" s="162"/>
    </row>
    <row r="9" spans="1:10" ht="18.75" x14ac:dyDescent="0.3">
      <c r="A9" s="167" t="s">
        <v>73</v>
      </c>
      <c r="B9" s="167"/>
      <c r="C9" s="167"/>
      <c r="D9" s="167"/>
      <c r="E9" s="167"/>
      <c r="F9" s="167"/>
      <c r="G9" s="167"/>
      <c r="H9" s="167"/>
      <c r="I9" s="167"/>
      <c r="J9" s="162"/>
    </row>
    <row r="10" spans="1:10" ht="18.75" x14ac:dyDescent="0.3">
      <c r="A10" s="69"/>
      <c r="B10" s="69"/>
      <c r="C10" s="69"/>
      <c r="D10" s="69"/>
      <c r="E10" s="69"/>
      <c r="F10" s="69"/>
      <c r="G10" s="69"/>
      <c r="H10" s="69"/>
      <c r="I10" s="69"/>
      <c r="J10" s="163"/>
    </row>
    <row r="11" spans="1:10" x14ac:dyDescent="0.25">
      <c r="A11" s="221"/>
      <c r="B11" s="224"/>
      <c r="C11" s="224"/>
      <c r="D11" s="224"/>
      <c r="E11" s="224"/>
      <c r="F11" s="222"/>
      <c r="G11" s="221" t="s">
        <v>12</v>
      </c>
      <c r="H11" s="222"/>
      <c r="I11" s="3" t="s">
        <v>74</v>
      </c>
      <c r="J11" s="163"/>
    </row>
    <row r="12" spans="1:10" x14ac:dyDescent="0.25">
      <c r="A12" s="218" t="s">
        <v>75</v>
      </c>
      <c r="B12" s="219"/>
      <c r="C12" s="219"/>
      <c r="D12" s="219"/>
      <c r="E12" s="219"/>
      <c r="F12" s="220"/>
      <c r="G12" s="221">
        <v>1973</v>
      </c>
      <c r="H12" s="222"/>
      <c r="I12" s="3"/>
      <c r="J12" s="163"/>
    </row>
    <row r="13" spans="1:10" x14ac:dyDescent="0.25">
      <c r="A13" s="218" t="s">
        <v>76</v>
      </c>
      <c r="B13" s="219"/>
      <c r="C13" s="219"/>
      <c r="D13" s="219"/>
      <c r="E13" s="219"/>
      <c r="F13" s="220"/>
      <c r="G13" s="225">
        <v>12047</v>
      </c>
      <c r="H13" s="226"/>
      <c r="I13" s="3"/>
      <c r="J13" s="163"/>
    </row>
    <row r="14" spans="1:10" x14ac:dyDescent="0.25">
      <c r="A14" s="156" t="s">
        <v>77</v>
      </c>
      <c r="B14" s="157"/>
      <c r="C14" s="157"/>
      <c r="D14" s="157"/>
      <c r="E14" s="157"/>
      <c r="F14" s="158"/>
      <c r="G14" s="154"/>
      <c r="H14" s="155"/>
      <c r="I14" s="63">
        <f>I15+I16+I17+I18+I19</f>
        <v>148.28794743749998</v>
      </c>
      <c r="J14" s="164"/>
    </row>
    <row r="15" spans="1:10" x14ac:dyDescent="0.25">
      <c r="A15" s="221" t="s">
        <v>78</v>
      </c>
      <c r="B15" s="224"/>
      <c r="C15" s="224"/>
      <c r="D15" s="224"/>
      <c r="E15" s="224"/>
      <c r="F15" s="222"/>
      <c r="G15" s="227" t="s">
        <v>101</v>
      </c>
      <c r="H15" s="228"/>
      <c r="I15" s="63">
        <f>ROUND(G13*12/1973,2)</f>
        <v>73.27</v>
      </c>
      <c r="J15" s="67"/>
    </row>
    <row r="16" spans="1:10" x14ac:dyDescent="0.25">
      <c r="A16" s="221" t="s">
        <v>120</v>
      </c>
      <c r="B16" s="224"/>
      <c r="C16" s="224"/>
      <c r="D16" s="224"/>
      <c r="E16" s="224"/>
      <c r="F16" s="222"/>
      <c r="G16" s="229">
        <v>0.25</v>
      </c>
      <c r="H16" s="222"/>
      <c r="I16" s="63">
        <f>I15*G16</f>
        <v>18.317499999999999</v>
      </c>
      <c r="J16" s="67"/>
    </row>
    <row r="17" spans="1:10" x14ac:dyDescent="0.25">
      <c r="A17" s="221" t="s">
        <v>121</v>
      </c>
      <c r="B17" s="224"/>
      <c r="C17" s="224"/>
      <c r="D17" s="224"/>
      <c r="E17" s="224"/>
      <c r="F17" s="222"/>
      <c r="G17" s="229">
        <v>0.3</v>
      </c>
      <c r="H17" s="222"/>
      <c r="I17" s="63">
        <f>(I15+I16+I184)*G17</f>
        <v>27.476249999999997</v>
      </c>
    </row>
    <row r="18" spans="1:10" x14ac:dyDescent="0.25">
      <c r="A18" s="221" t="s">
        <v>79</v>
      </c>
      <c r="B18" s="224"/>
      <c r="C18" s="224"/>
      <c r="D18" s="224"/>
      <c r="E18" s="224"/>
      <c r="F18" s="222"/>
      <c r="G18" s="229">
        <v>0.15</v>
      </c>
      <c r="H18" s="222"/>
      <c r="I18" s="63">
        <f>(I15+I16+I17)*G18</f>
        <v>17.859562499999996</v>
      </c>
    </row>
    <row r="19" spans="1:10" x14ac:dyDescent="0.25">
      <c r="A19" s="221" t="s">
        <v>122</v>
      </c>
      <c r="B19" s="224"/>
      <c r="C19" s="224"/>
      <c r="D19" s="224"/>
      <c r="E19" s="224"/>
      <c r="F19" s="222"/>
      <c r="G19" s="229">
        <v>8.3000000000000004E-2</v>
      </c>
      <c r="H19" s="222"/>
      <c r="I19" s="63">
        <f>(I15+I16+I17+I18)*G19</f>
        <v>11.364634937499998</v>
      </c>
      <c r="J19" s="102"/>
    </row>
    <row r="20" spans="1:10" ht="18.75" customHeight="1" x14ac:dyDescent="0.25">
      <c r="A20" s="218" t="s">
        <v>80</v>
      </c>
      <c r="B20" s="219"/>
      <c r="C20" s="219"/>
      <c r="D20" s="219"/>
      <c r="E20" s="219"/>
      <c r="F20" s="220"/>
      <c r="G20" s="230">
        <v>0.36199999999999999</v>
      </c>
      <c r="H20" s="222"/>
      <c r="I20" s="63">
        <f>(I15+I16+I17+I18+I19)*36.2%</f>
        <v>53.680236972374999</v>
      </c>
      <c r="J20" s="102"/>
    </row>
    <row r="21" spans="1:10" ht="18.75" customHeight="1" x14ac:dyDescent="0.25">
      <c r="A21" s="218" t="s">
        <v>81</v>
      </c>
      <c r="B21" s="219"/>
      <c r="C21" s="219"/>
      <c r="D21" s="219"/>
      <c r="E21" s="219"/>
      <c r="F21" s="220"/>
      <c r="G21" s="229">
        <v>0.75</v>
      </c>
      <c r="H21" s="222"/>
      <c r="I21" s="63">
        <f>(I14+I20)*G21</f>
        <v>151.47613830740625</v>
      </c>
      <c r="J21" s="102"/>
    </row>
    <row r="22" spans="1:10" ht="18.75" customHeight="1" x14ac:dyDescent="0.25">
      <c r="A22" s="218" t="s">
        <v>82</v>
      </c>
      <c r="B22" s="219"/>
      <c r="C22" s="219"/>
      <c r="D22" s="219"/>
      <c r="E22" s="219"/>
      <c r="F22" s="220"/>
      <c r="G22" s="229">
        <v>0.4</v>
      </c>
      <c r="H22" s="222"/>
      <c r="I22" s="63">
        <f>(I14+I20+I21)*G22</f>
        <v>141.3777290869125</v>
      </c>
      <c r="J22" s="102"/>
    </row>
    <row r="23" spans="1:10" ht="18.75" customHeight="1" x14ac:dyDescent="0.25">
      <c r="A23" s="218" t="s">
        <v>83</v>
      </c>
      <c r="B23" s="219"/>
      <c r="C23" s="219"/>
      <c r="D23" s="219"/>
      <c r="E23" s="219"/>
      <c r="F23" s="220"/>
      <c r="G23" s="229">
        <v>0.02</v>
      </c>
      <c r="H23" s="222"/>
      <c r="I23" s="63">
        <f>(I14+I20+I21+I22)*G23</f>
        <v>9.8964410360838748</v>
      </c>
      <c r="J23" s="102"/>
    </row>
    <row r="24" spans="1:10" ht="18.75" customHeight="1" x14ac:dyDescent="0.25">
      <c r="A24" s="231" t="s">
        <v>280</v>
      </c>
      <c r="B24" s="232"/>
      <c r="C24" s="232"/>
      <c r="D24" s="232"/>
      <c r="E24" s="232"/>
      <c r="F24" s="233"/>
      <c r="G24" s="221"/>
      <c r="H24" s="222"/>
      <c r="I24" s="159">
        <f>I14+I20+I21+I22+I23</f>
        <v>504.71849284027763</v>
      </c>
      <c r="J24" s="102"/>
    </row>
    <row r="25" spans="1:10" x14ac:dyDescent="0.25">
      <c r="J25" s="102"/>
    </row>
    <row r="26" spans="1:10" ht="15.75" x14ac:dyDescent="0.25">
      <c r="A26" s="24"/>
      <c r="B26" s="24"/>
      <c r="C26" s="24"/>
      <c r="D26" s="24"/>
      <c r="E26" s="67"/>
      <c r="I26" s="67"/>
      <c r="J26" s="102"/>
    </row>
    <row r="27" spans="1:10" x14ac:dyDescent="0.25">
      <c r="J27" s="102"/>
    </row>
    <row r="28" spans="1:10" x14ac:dyDescent="0.25">
      <c r="J28" s="102"/>
    </row>
    <row r="29" spans="1:10" x14ac:dyDescent="0.25">
      <c r="A29" s="102"/>
      <c r="B29" s="102"/>
      <c r="C29" s="102"/>
      <c r="D29" s="102"/>
      <c r="E29" s="102"/>
      <c r="F29" s="102"/>
      <c r="G29" s="102"/>
      <c r="H29" s="102"/>
      <c r="I29" s="102"/>
      <c r="J29" s="102"/>
    </row>
    <row r="30" spans="1:10" x14ac:dyDescent="0.25">
      <c r="A30" s="102"/>
      <c r="B30" s="102"/>
      <c r="C30" s="102"/>
      <c r="D30" s="102"/>
      <c r="E30" s="102"/>
      <c r="F30" s="102"/>
      <c r="G30" s="102"/>
      <c r="H30" s="102"/>
      <c r="I30" s="102"/>
      <c r="J30" s="102"/>
    </row>
    <row r="31" spans="1:10" x14ac:dyDescent="0.25">
      <c r="A31" s="102"/>
      <c r="B31" s="102"/>
      <c r="C31" s="102"/>
      <c r="D31" s="102"/>
      <c r="E31" s="102"/>
      <c r="F31" s="102"/>
      <c r="G31" s="102"/>
      <c r="H31" s="102"/>
      <c r="I31" s="102"/>
      <c r="J31" s="102"/>
    </row>
    <row r="32" spans="1:10" x14ac:dyDescent="0.25">
      <c r="A32" s="102"/>
      <c r="B32" s="102"/>
      <c r="C32" s="102"/>
      <c r="D32" s="102"/>
      <c r="E32" s="102"/>
      <c r="F32" s="102"/>
      <c r="G32" s="102"/>
      <c r="H32" s="102"/>
      <c r="I32" s="102"/>
      <c r="J32" s="102"/>
    </row>
    <row r="33" spans="1:10" x14ac:dyDescent="0.25">
      <c r="A33" s="102"/>
      <c r="B33" s="102"/>
      <c r="C33" s="102"/>
      <c r="D33" s="102"/>
      <c r="E33" s="102"/>
      <c r="F33" s="102"/>
      <c r="G33" s="102"/>
      <c r="H33" s="102"/>
      <c r="I33" s="102"/>
      <c r="J33" s="102"/>
    </row>
    <row r="34" spans="1:10" x14ac:dyDescent="0.25">
      <c r="A34" s="102"/>
      <c r="B34" s="102"/>
      <c r="C34" s="102"/>
      <c r="D34" s="102"/>
      <c r="E34" s="102"/>
      <c r="F34" s="102"/>
      <c r="G34" s="102"/>
      <c r="H34" s="102"/>
      <c r="I34" s="102"/>
      <c r="J34" s="102"/>
    </row>
    <row r="35" spans="1:10" x14ac:dyDescent="0.25">
      <c r="A35" s="102"/>
      <c r="B35" s="102"/>
      <c r="C35" s="102"/>
      <c r="D35" s="102"/>
      <c r="E35" s="102"/>
      <c r="F35" s="102"/>
      <c r="G35" s="102"/>
      <c r="H35" s="102"/>
      <c r="I35" s="102"/>
      <c r="J35" s="102"/>
    </row>
    <row r="36" spans="1:10" x14ac:dyDescent="0.25">
      <c r="A36" s="102"/>
      <c r="B36" s="102"/>
      <c r="C36" s="102"/>
      <c r="D36" s="102"/>
      <c r="E36" s="102"/>
      <c r="F36" s="102"/>
      <c r="G36" s="102"/>
      <c r="H36" s="102"/>
      <c r="I36" s="102"/>
      <c r="J36" s="102"/>
    </row>
    <row r="37" spans="1:10" x14ac:dyDescent="0.25">
      <c r="A37" s="102"/>
      <c r="B37" s="102"/>
      <c r="C37" s="102"/>
      <c r="D37" s="102"/>
      <c r="E37" s="102"/>
      <c r="F37" s="102"/>
      <c r="G37" s="102"/>
      <c r="H37" s="102"/>
      <c r="I37" s="102"/>
      <c r="J37" s="102"/>
    </row>
    <row r="38" spans="1:10" x14ac:dyDescent="0.25">
      <c r="A38" s="102"/>
      <c r="B38" s="102"/>
      <c r="C38" s="102"/>
      <c r="D38" s="102"/>
      <c r="E38" s="102"/>
      <c r="F38" s="102"/>
      <c r="G38" s="102"/>
      <c r="H38" s="102"/>
      <c r="I38" s="102"/>
      <c r="J38" s="102"/>
    </row>
    <row r="39" spans="1:10" x14ac:dyDescent="0.25">
      <c r="A39" s="102"/>
      <c r="B39" s="102"/>
      <c r="C39" s="102"/>
      <c r="D39" s="102"/>
      <c r="E39" s="102"/>
      <c r="F39" s="102"/>
      <c r="G39" s="102"/>
      <c r="H39" s="102"/>
      <c r="I39" s="102"/>
      <c r="J39" s="102"/>
    </row>
    <row r="40" spans="1:10" x14ac:dyDescent="0.25">
      <c r="A40" s="102"/>
      <c r="B40" s="102"/>
      <c r="C40" s="102"/>
      <c r="D40" s="102"/>
      <c r="E40" s="102"/>
      <c r="F40" s="102"/>
      <c r="G40" s="102"/>
      <c r="H40" s="102"/>
      <c r="I40" s="102"/>
      <c r="J40" s="102"/>
    </row>
    <row r="41" spans="1:10" x14ac:dyDescent="0.25">
      <c r="A41" s="102"/>
      <c r="B41" s="102"/>
      <c r="C41" s="102"/>
      <c r="D41" s="102"/>
      <c r="E41" s="102"/>
      <c r="F41" s="102"/>
      <c r="G41" s="102"/>
      <c r="H41" s="102"/>
      <c r="I41" s="102"/>
    </row>
    <row r="42" spans="1:10" x14ac:dyDescent="0.25">
      <c r="A42" s="102"/>
      <c r="B42" s="102"/>
      <c r="C42" s="102"/>
      <c r="D42" s="102"/>
      <c r="E42" s="102"/>
      <c r="F42" s="102"/>
      <c r="G42" s="102"/>
      <c r="H42" s="102"/>
      <c r="I42" s="102"/>
    </row>
    <row r="43" spans="1:10" x14ac:dyDescent="0.25">
      <c r="A43" s="102"/>
      <c r="B43" s="102"/>
      <c r="C43" s="102"/>
      <c r="D43" s="102"/>
      <c r="E43" s="102"/>
      <c r="F43" s="102"/>
      <c r="G43" s="102"/>
      <c r="H43" s="102"/>
      <c r="I43" s="102"/>
    </row>
    <row r="44" spans="1:10" x14ac:dyDescent="0.25">
      <c r="A44" s="102"/>
      <c r="B44" s="102"/>
      <c r="C44" s="102"/>
      <c r="D44" s="102"/>
      <c r="E44" s="102"/>
      <c r="F44" s="102"/>
      <c r="G44" s="102"/>
      <c r="H44" s="102"/>
      <c r="I44" s="102"/>
    </row>
    <row r="45" spans="1:10" x14ac:dyDescent="0.25">
      <c r="A45" s="102"/>
      <c r="B45" s="102"/>
      <c r="C45" s="102"/>
      <c r="D45" s="102"/>
      <c r="E45" s="102"/>
      <c r="F45" s="102"/>
      <c r="G45" s="102"/>
      <c r="H45" s="102"/>
      <c r="I45" s="102"/>
    </row>
    <row r="46" spans="1:10" x14ac:dyDescent="0.25">
      <c r="A46" s="102"/>
      <c r="B46" s="102"/>
      <c r="C46" s="102"/>
      <c r="D46" s="102"/>
      <c r="E46" s="102"/>
      <c r="F46" s="102"/>
      <c r="G46" s="102"/>
      <c r="H46" s="102"/>
      <c r="I46" s="102"/>
    </row>
    <row r="47" spans="1:10" x14ac:dyDescent="0.25">
      <c r="A47" s="102"/>
      <c r="B47" s="102"/>
      <c r="C47" s="102"/>
      <c r="D47" s="102"/>
      <c r="E47" s="102"/>
      <c r="F47" s="102"/>
      <c r="G47" s="102"/>
      <c r="H47" s="102"/>
      <c r="I47" s="102"/>
    </row>
    <row r="48" spans="1:10" x14ac:dyDescent="0.25">
      <c r="A48" s="102"/>
      <c r="B48" s="102"/>
      <c r="C48" s="102"/>
      <c r="D48" s="102"/>
      <c r="E48" s="102"/>
      <c r="F48" s="102"/>
      <c r="G48" s="102"/>
      <c r="H48" s="102"/>
      <c r="I48" s="102"/>
    </row>
    <row r="49" spans="1:9" x14ac:dyDescent="0.25">
      <c r="A49" s="102"/>
      <c r="B49" s="102"/>
      <c r="C49" s="102"/>
      <c r="D49" s="102"/>
      <c r="E49" s="102"/>
      <c r="F49" s="102"/>
      <c r="G49" s="102"/>
      <c r="H49" s="102"/>
      <c r="I49" s="102"/>
    </row>
    <row r="50" spans="1:9" x14ac:dyDescent="0.25">
      <c r="A50" s="102"/>
      <c r="B50" s="102"/>
      <c r="C50" s="102"/>
      <c r="D50" s="102"/>
      <c r="E50" s="102"/>
      <c r="F50" s="102"/>
      <c r="G50" s="102"/>
      <c r="H50" s="102"/>
      <c r="I50" s="102"/>
    </row>
  </sheetData>
  <mergeCells count="31">
    <mergeCell ref="A22:F22"/>
    <mergeCell ref="G22:H22"/>
    <mergeCell ref="A23:F23"/>
    <mergeCell ref="G23:H23"/>
    <mergeCell ref="A24:F24"/>
    <mergeCell ref="G24:H24"/>
    <mergeCell ref="A19:F19"/>
    <mergeCell ref="G19:H19"/>
    <mergeCell ref="A20:F20"/>
    <mergeCell ref="G20:H20"/>
    <mergeCell ref="A21:F21"/>
    <mergeCell ref="G21:H21"/>
    <mergeCell ref="A16:F16"/>
    <mergeCell ref="G16:H16"/>
    <mergeCell ref="A17:F17"/>
    <mergeCell ref="G17:H17"/>
    <mergeCell ref="A18:F18"/>
    <mergeCell ref="G18:H18"/>
    <mergeCell ref="A12:F12"/>
    <mergeCell ref="G12:H12"/>
    <mergeCell ref="A13:F13"/>
    <mergeCell ref="G13:H13"/>
    <mergeCell ref="A15:F15"/>
    <mergeCell ref="G15:H15"/>
    <mergeCell ref="A11:F11"/>
    <mergeCell ref="G11:H11"/>
    <mergeCell ref="A2:C3"/>
    <mergeCell ref="G2:I2"/>
    <mergeCell ref="A7:H7"/>
    <mergeCell ref="A8:I8"/>
    <mergeCell ref="A9:I9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A2" sqref="A2:F27"/>
    </sheetView>
  </sheetViews>
  <sheetFormatPr defaultRowHeight="15" x14ac:dyDescent="0.25"/>
  <cols>
    <col min="1" max="1" width="30.140625" customWidth="1"/>
    <col min="2" max="2" width="10.28515625" customWidth="1"/>
    <col min="3" max="3" width="17.140625" customWidth="1"/>
    <col min="4" max="4" width="15.7109375" customWidth="1"/>
    <col min="5" max="5" width="11.85546875" customWidth="1"/>
    <col min="6" max="6" width="14.7109375" customWidth="1"/>
  </cols>
  <sheetData>
    <row r="1" spans="1:6" ht="15.75" thickBot="1" x14ac:dyDescent="0.3"/>
    <row r="2" spans="1:6" ht="79.5" thickBot="1" x14ac:dyDescent="0.3">
      <c r="A2" s="252" t="s">
        <v>246</v>
      </c>
      <c r="B2" s="252"/>
      <c r="C2" s="146" t="s">
        <v>247</v>
      </c>
      <c r="D2" s="146" t="s">
        <v>248</v>
      </c>
      <c r="E2" s="146" t="s">
        <v>249</v>
      </c>
      <c r="F2" s="146" t="s">
        <v>250</v>
      </c>
    </row>
    <row r="3" spans="1:6" ht="16.5" thickBot="1" x14ac:dyDescent="0.3">
      <c r="A3" s="254" t="s">
        <v>251</v>
      </c>
      <c r="B3" s="255"/>
      <c r="C3" s="246"/>
      <c r="D3" s="246"/>
      <c r="E3" s="246"/>
      <c r="F3" s="247"/>
    </row>
    <row r="4" spans="1:6" ht="15.75" x14ac:dyDescent="0.25">
      <c r="A4" s="238" t="s">
        <v>252</v>
      </c>
      <c r="B4" s="147" t="s">
        <v>253</v>
      </c>
      <c r="C4" s="234">
        <v>1786</v>
      </c>
      <c r="D4" s="234">
        <f>Эксковатор!F40</f>
        <v>1860</v>
      </c>
      <c r="E4" s="236">
        <f>D4/C4</f>
        <v>1.0414333706606942</v>
      </c>
      <c r="F4" s="238"/>
    </row>
    <row r="5" spans="1:6" ht="16.5" thickBot="1" x14ac:dyDescent="0.3">
      <c r="A5" s="239"/>
      <c r="B5" s="148" t="s">
        <v>254</v>
      </c>
      <c r="C5" s="253"/>
      <c r="D5" s="235"/>
      <c r="E5" s="237"/>
      <c r="F5" s="239"/>
    </row>
    <row r="6" spans="1:6" ht="15.75" x14ac:dyDescent="0.25">
      <c r="A6" s="238" t="s">
        <v>255</v>
      </c>
      <c r="B6" s="147" t="s">
        <v>256</v>
      </c>
      <c r="C6" s="240" t="s">
        <v>258</v>
      </c>
      <c r="D6" s="234">
        <v>1616</v>
      </c>
      <c r="E6" s="236">
        <v>1.0781000000000001</v>
      </c>
      <c r="F6" s="238"/>
    </row>
    <row r="7" spans="1:6" ht="16.5" thickBot="1" x14ac:dyDescent="0.3">
      <c r="A7" s="239"/>
      <c r="B7" s="148" t="s">
        <v>257</v>
      </c>
      <c r="C7" s="235"/>
      <c r="D7" s="235"/>
      <c r="E7" s="237"/>
      <c r="F7" s="239"/>
    </row>
    <row r="8" spans="1:6" ht="15.75" x14ac:dyDescent="0.25">
      <c r="A8" s="238" t="s">
        <v>259</v>
      </c>
      <c r="B8" s="147" t="s">
        <v>253</v>
      </c>
      <c r="C8" s="240" t="s">
        <v>260</v>
      </c>
      <c r="D8" s="243">
        <f>'Т-150'!F39</f>
        <v>2435</v>
      </c>
      <c r="E8" s="236">
        <v>1.0808</v>
      </c>
      <c r="F8" s="238"/>
    </row>
    <row r="9" spans="1:6" ht="16.5" thickBot="1" x14ac:dyDescent="0.3">
      <c r="A9" s="239"/>
      <c r="B9" s="148" t="s">
        <v>254</v>
      </c>
      <c r="C9" s="235"/>
      <c r="D9" s="244"/>
      <c r="E9" s="237"/>
      <c r="F9" s="239"/>
    </row>
    <row r="10" spans="1:6" ht="15.75" x14ac:dyDescent="0.25">
      <c r="A10" s="238" t="s">
        <v>261</v>
      </c>
      <c r="B10" s="147" t="s">
        <v>253</v>
      </c>
      <c r="C10" s="234">
        <v>1867</v>
      </c>
      <c r="D10" s="234">
        <f>'ДТ-75'!F40</f>
        <v>1984</v>
      </c>
      <c r="E10" s="236">
        <f t="shared" ref="E10" si="0">D10/C10</f>
        <v>1.0626673808248528</v>
      </c>
      <c r="F10" s="238"/>
    </row>
    <row r="11" spans="1:6" ht="16.5" thickBot="1" x14ac:dyDescent="0.3">
      <c r="A11" s="239"/>
      <c r="B11" s="148" t="s">
        <v>254</v>
      </c>
      <c r="C11" s="253"/>
      <c r="D11" s="235"/>
      <c r="E11" s="237"/>
      <c r="F11" s="239"/>
    </row>
    <row r="12" spans="1:6" ht="15.75" x14ac:dyDescent="0.25">
      <c r="A12" s="238" t="s">
        <v>262</v>
      </c>
      <c r="B12" s="147" t="s">
        <v>253</v>
      </c>
      <c r="C12" s="240">
        <v>840</v>
      </c>
      <c r="D12" s="234">
        <f>УАЗ!F40</f>
        <v>858</v>
      </c>
      <c r="E12" s="236">
        <f t="shared" ref="E12" si="1">D12/C12</f>
        <v>1.0214285714285714</v>
      </c>
      <c r="F12" s="238"/>
    </row>
    <row r="13" spans="1:6" ht="16.5" thickBot="1" x14ac:dyDescent="0.3">
      <c r="A13" s="239"/>
      <c r="B13" s="148" t="s">
        <v>254</v>
      </c>
      <c r="C13" s="235"/>
      <c r="D13" s="235"/>
      <c r="E13" s="237"/>
      <c r="F13" s="239"/>
    </row>
    <row r="14" spans="1:6" ht="15.75" x14ac:dyDescent="0.25">
      <c r="A14" s="238" t="s">
        <v>263</v>
      </c>
      <c r="B14" s="147" t="s">
        <v>253</v>
      </c>
      <c r="C14" s="240" t="s">
        <v>264</v>
      </c>
      <c r="D14" s="234">
        <f>'КАМАЗ 5320'!F42</f>
        <v>1692</v>
      </c>
      <c r="E14" s="236">
        <v>1.085</v>
      </c>
      <c r="F14" s="238"/>
    </row>
    <row r="15" spans="1:6" ht="16.5" thickBot="1" x14ac:dyDescent="0.3">
      <c r="A15" s="239"/>
      <c r="B15" s="148" t="s">
        <v>254</v>
      </c>
      <c r="C15" s="235"/>
      <c r="D15" s="235"/>
      <c r="E15" s="237"/>
      <c r="F15" s="239"/>
    </row>
    <row r="16" spans="1:6" ht="15.75" x14ac:dyDescent="0.25">
      <c r="A16" s="238" t="s">
        <v>265</v>
      </c>
      <c r="B16" s="147" t="s">
        <v>253</v>
      </c>
      <c r="C16" s="248">
        <v>338</v>
      </c>
      <c r="D16" s="234">
        <f>'ЖБО для организаций'!G47</f>
        <v>352</v>
      </c>
      <c r="E16" s="250">
        <f>D16/C16</f>
        <v>1.0414201183431953</v>
      </c>
      <c r="F16" s="238"/>
    </row>
    <row r="17" spans="1:6" ht="32.25" thickBot="1" x14ac:dyDescent="0.3">
      <c r="A17" s="239"/>
      <c r="B17" s="148" t="s">
        <v>266</v>
      </c>
      <c r="C17" s="249"/>
      <c r="D17" s="235"/>
      <c r="E17" s="251"/>
      <c r="F17" s="239"/>
    </row>
    <row r="18" spans="1:6" ht="48" thickBot="1" x14ac:dyDescent="0.3">
      <c r="A18" s="150" t="s">
        <v>267</v>
      </c>
      <c r="B18" s="150" t="s">
        <v>268</v>
      </c>
      <c r="C18" s="149">
        <v>148</v>
      </c>
      <c r="D18" s="151">
        <f>'жбо населен'!F46</f>
        <v>158</v>
      </c>
      <c r="E18" s="160">
        <f>D18/C18</f>
        <v>1.0675675675675675</v>
      </c>
      <c r="F18" s="150"/>
    </row>
    <row r="19" spans="1:6" ht="16.5" thickBot="1" x14ac:dyDescent="0.3">
      <c r="A19" s="245" t="s">
        <v>269</v>
      </c>
      <c r="B19" s="246"/>
      <c r="C19" s="246"/>
      <c r="D19" s="246"/>
      <c r="E19" s="246"/>
      <c r="F19" s="247"/>
    </row>
    <row r="20" spans="1:6" ht="15.75" x14ac:dyDescent="0.25">
      <c r="A20" s="238" t="s">
        <v>270</v>
      </c>
      <c r="B20" s="147" t="s">
        <v>253</v>
      </c>
      <c r="C20" s="240">
        <v>288</v>
      </c>
      <c r="D20" s="241">
        <v>304</v>
      </c>
      <c r="E20" s="240">
        <v>105.6</v>
      </c>
      <c r="F20" s="238"/>
    </row>
    <row r="21" spans="1:6" ht="16.5" thickBot="1" x14ac:dyDescent="0.3">
      <c r="A21" s="239"/>
      <c r="B21" s="148" t="s">
        <v>254</v>
      </c>
      <c r="C21" s="235"/>
      <c r="D21" s="242"/>
      <c r="E21" s="235"/>
      <c r="F21" s="239"/>
    </row>
    <row r="22" spans="1:6" ht="15.75" x14ac:dyDescent="0.25">
      <c r="A22" s="238" t="s">
        <v>275</v>
      </c>
      <c r="B22" s="147" t="s">
        <v>256</v>
      </c>
      <c r="C22" s="240"/>
      <c r="D22" s="241">
        <v>318</v>
      </c>
      <c r="E22" s="240"/>
      <c r="F22" s="240"/>
    </row>
    <row r="23" spans="1:6" ht="16.5" thickBot="1" x14ac:dyDescent="0.3">
      <c r="A23" s="239"/>
      <c r="B23" s="147" t="s">
        <v>254</v>
      </c>
      <c r="C23" s="235"/>
      <c r="D23" s="242"/>
      <c r="E23" s="235"/>
      <c r="F23" s="235"/>
    </row>
    <row r="24" spans="1:6" ht="15.75" x14ac:dyDescent="0.25">
      <c r="A24" s="238" t="s">
        <v>281</v>
      </c>
      <c r="B24" s="147" t="s">
        <v>256</v>
      </c>
      <c r="C24" s="165"/>
      <c r="D24" s="241">
        <v>505</v>
      </c>
      <c r="E24" s="240"/>
      <c r="F24" s="240"/>
    </row>
    <row r="25" spans="1:6" ht="16.5" thickBot="1" x14ac:dyDescent="0.3">
      <c r="A25" s="239"/>
      <c r="B25" s="147" t="s">
        <v>254</v>
      </c>
      <c r="C25" s="165"/>
      <c r="D25" s="242"/>
      <c r="E25" s="235"/>
      <c r="F25" s="235"/>
    </row>
    <row r="26" spans="1:6" ht="37.5" customHeight="1" x14ac:dyDescent="0.25">
      <c r="A26" s="238" t="s">
        <v>271</v>
      </c>
      <c r="B26" s="147" t="s">
        <v>253</v>
      </c>
      <c r="C26" s="240">
        <v>28</v>
      </c>
      <c r="D26" s="234">
        <f>'ЖБО для организаций'!G48</f>
        <v>31</v>
      </c>
      <c r="E26" s="240">
        <v>109.3</v>
      </c>
      <c r="F26" s="238"/>
    </row>
    <row r="27" spans="1:6" ht="16.5" thickBot="1" x14ac:dyDescent="0.3">
      <c r="A27" s="239"/>
      <c r="B27" s="148" t="s">
        <v>272</v>
      </c>
      <c r="C27" s="235"/>
      <c r="D27" s="235"/>
      <c r="E27" s="235"/>
      <c r="F27" s="239"/>
    </row>
  </sheetData>
  <mergeCells count="57">
    <mergeCell ref="A24:A25"/>
    <mergeCell ref="D24:D25"/>
    <mergeCell ref="E24:E25"/>
    <mergeCell ref="F24:F25"/>
    <mergeCell ref="A26:A27"/>
    <mergeCell ref="C26:C27"/>
    <mergeCell ref="D26:D27"/>
    <mergeCell ref="E26:E27"/>
    <mergeCell ref="F26:F27"/>
    <mergeCell ref="A2:B2"/>
    <mergeCell ref="A14:A15"/>
    <mergeCell ref="C14:C15"/>
    <mergeCell ref="D14:D15"/>
    <mergeCell ref="E14:E15"/>
    <mergeCell ref="A10:A11"/>
    <mergeCell ref="C10:C11"/>
    <mergeCell ref="D10:D11"/>
    <mergeCell ref="E10:E11"/>
    <mergeCell ref="A6:A7"/>
    <mergeCell ref="C6:C7"/>
    <mergeCell ref="D6:D7"/>
    <mergeCell ref="E6:E7"/>
    <mergeCell ref="A3:F3"/>
    <mergeCell ref="A4:A5"/>
    <mergeCell ref="C4:C5"/>
    <mergeCell ref="A20:A21"/>
    <mergeCell ref="C20:C21"/>
    <mergeCell ref="D20:D21"/>
    <mergeCell ref="E20:E21"/>
    <mergeCell ref="F20:F21"/>
    <mergeCell ref="C12:C13"/>
    <mergeCell ref="D12:D13"/>
    <mergeCell ref="E12:E13"/>
    <mergeCell ref="F12:F13"/>
    <mergeCell ref="A19:F19"/>
    <mergeCell ref="F14:F15"/>
    <mergeCell ref="A16:A17"/>
    <mergeCell ref="C16:C17"/>
    <mergeCell ref="D16:D17"/>
    <mergeCell ref="E16:E17"/>
    <mergeCell ref="F16:F17"/>
    <mergeCell ref="D4:D5"/>
    <mergeCell ref="E4:E5"/>
    <mergeCell ref="F4:F5"/>
    <mergeCell ref="A22:A23"/>
    <mergeCell ref="C22:C23"/>
    <mergeCell ref="D22:D23"/>
    <mergeCell ref="E22:E23"/>
    <mergeCell ref="F22:F23"/>
    <mergeCell ref="F6:F7"/>
    <mergeCell ref="A8:A9"/>
    <mergeCell ref="C8:C9"/>
    <mergeCell ref="D8:D9"/>
    <mergeCell ref="E8:E9"/>
    <mergeCell ref="F8:F9"/>
    <mergeCell ref="F10:F11"/>
    <mergeCell ref="A12:A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zoomScale="90" zoomScaleNormal="90" workbookViewId="0">
      <selection activeCell="E4" sqref="E4"/>
    </sheetView>
  </sheetViews>
  <sheetFormatPr defaultRowHeight="15" x14ac:dyDescent="0.25"/>
  <cols>
    <col min="4" max="4" width="40.140625" customWidth="1"/>
    <col min="5" max="5" width="12.7109375" customWidth="1"/>
    <col min="6" max="6" width="14.85546875" customWidth="1"/>
    <col min="8" max="8" width="10.42578125" bestFit="1" customWidth="1"/>
  </cols>
  <sheetData>
    <row r="1" spans="1:6" ht="15.75" x14ac:dyDescent="0.25">
      <c r="A1" s="1" t="s">
        <v>15</v>
      </c>
      <c r="B1" s="11"/>
      <c r="C1" s="11"/>
      <c r="D1" s="12" t="s">
        <v>16</v>
      </c>
      <c r="E1" s="12"/>
      <c r="F1" s="13"/>
    </row>
    <row r="2" spans="1:6" ht="31.5" customHeight="1" x14ac:dyDescent="0.25">
      <c r="A2" s="168" t="s">
        <v>150</v>
      </c>
      <c r="B2" s="168"/>
      <c r="C2" s="168"/>
      <c r="D2" s="103" t="s">
        <v>142</v>
      </c>
      <c r="E2" s="168" t="s">
        <v>143</v>
      </c>
      <c r="F2" s="168"/>
    </row>
    <row r="3" spans="1:6" ht="15.75" x14ac:dyDescent="0.25">
      <c r="A3" s="168"/>
      <c r="B3" s="168"/>
      <c r="C3" s="168"/>
      <c r="D3" s="28"/>
      <c r="E3" s="168"/>
      <c r="F3" s="168"/>
    </row>
    <row r="4" spans="1:6" ht="29.25" customHeight="1" x14ac:dyDescent="0.25">
      <c r="A4" s="1" t="s">
        <v>274</v>
      </c>
      <c r="B4" s="11"/>
      <c r="C4" s="11"/>
      <c r="D4" s="12"/>
      <c r="E4" s="12"/>
      <c r="F4" s="13"/>
    </row>
    <row r="5" spans="1:6" ht="15.75" x14ac:dyDescent="0.25">
      <c r="A5" s="1" t="s">
        <v>133</v>
      </c>
      <c r="B5" s="11"/>
      <c r="C5" s="11"/>
      <c r="D5" s="12" t="s">
        <v>157</v>
      </c>
      <c r="E5" s="12" t="s">
        <v>163</v>
      </c>
      <c r="F5" s="13"/>
    </row>
    <row r="6" spans="1:6" ht="15.75" x14ac:dyDescent="0.25">
      <c r="A6" s="1"/>
      <c r="B6" s="11"/>
      <c r="C6" s="11"/>
      <c r="D6" s="12"/>
      <c r="E6" s="12"/>
      <c r="F6" s="13"/>
    </row>
    <row r="7" spans="1:6" ht="18.75" x14ac:dyDescent="0.3">
      <c r="A7" s="166" t="s">
        <v>44</v>
      </c>
      <c r="B7" s="166"/>
      <c r="C7" s="166"/>
      <c r="D7" s="166"/>
      <c r="E7" s="166"/>
      <c r="F7" s="166"/>
    </row>
    <row r="8" spans="1:6" ht="18.75" x14ac:dyDescent="0.3">
      <c r="A8" s="166" t="s">
        <v>107</v>
      </c>
      <c r="B8" s="166"/>
      <c r="C8" s="166"/>
      <c r="D8" s="166"/>
      <c r="E8" s="166"/>
      <c r="F8" s="166"/>
    </row>
    <row r="9" spans="1:6" ht="18.75" x14ac:dyDescent="0.3">
      <c r="A9" s="166" t="s">
        <v>228</v>
      </c>
      <c r="B9" s="166"/>
      <c r="C9" s="166"/>
      <c r="D9" s="166"/>
      <c r="E9" s="166"/>
      <c r="F9" s="166"/>
    </row>
    <row r="10" spans="1:6" ht="18.75" x14ac:dyDescent="0.3">
      <c r="A10" s="2"/>
    </row>
    <row r="11" spans="1:6" ht="31.5" x14ac:dyDescent="0.25">
      <c r="A11" s="172"/>
      <c r="B11" s="173"/>
      <c r="C11" s="173"/>
      <c r="D11" s="174"/>
      <c r="E11" s="16" t="s">
        <v>12</v>
      </c>
      <c r="F11" s="17" t="s">
        <v>13</v>
      </c>
    </row>
    <row r="12" spans="1:6" ht="15.75" x14ac:dyDescent="0.25">
      <c r="A12" s="6" t="s">
        <v>62</v>
      </c>
      <c r="B12" s="5"/>
      <c r="C12" s="5"/>
      <c r="D12" s="5"/>
      <c r="E12" s="16">
        <v>1418375.59</v>
      </c>
      <c r="F12" s="18"/>
    </row>
    <row r="13" spans="1:6" ht="15.75" x14ac:dyDescent="0.25">
      <c r="A13" s="10" t="s">
        <v>39</v>
      </c>
      <c r="B13" s="23"/>
      <c r="C13" s="23"/>
      <c r="D13" s="22"/>
      <c r="E13" s="116">
        <v>0.1</v>
      </c>
      <c r="F13" s="18">
        <v>10</v>
      </c>
    </row>
    <row r="14" spans="1:6" ht="15.75" x14ac:dyDescent="0.25">
      <c r="A14" s="6" t="s">
        <v>5</v>
      </c>
      <c r="B14" s="5"/>
      <c r="C14" s="7"/>
      <c r="D14" s="8"/>
      <c r="E14" s="15" t="s">
        <v>30</v>
      </c>
      <c r="F14" s="18">
        <v>1232</v>
      </c>
    </row>
    <row r="15" spans="1:6" ht="15.75" x14ac:dyDescent="0.25">
      <c r="A15" s="180" t="s">
        <v>17</v>
      </c>
      <c r="B15" s="181"/>
      <c r="C15" s="181"/>
      <c r="D15" s="182"/>
      <c r="E15" s="14" t="s">
        <v>21</v>
      </c>
      <c r="F15" s="18">
        <v>900</v>
      </c>
    </row>
    <row r="16" spans="1:6" ht="15.75" x14ac:dyDescent="0.25">
      <c r="A16" s="6" t="s">
        <v>35</v>
      </c>
      <c r="B16" s="5"/>
      <c r="C16" s="5"/>
      <c r="D16" s="5"/>
      <c r="E16" s="15"/>
      <c r="F16" s="119">
        <f>E12*F13%</f>
        <v>141837.55900000001</v>
      </c>
    </row>
    <row r="17" spans="1:6" ht="15.75" x14ac:dyDescent="0.25">
      <c r="A17" s="183" t="s">
        <v>238</v>
      </c>
      <c r="B17" s="184"/>
      <c r="C17" s="184"/>
      <c r="D17" s="185"/>
      <c r="E17" s="15" t="s">
        <v>36</v>
      </c>
      <c r="F17" s="119"/>
    </row>
    <row r="18" spans="1:6" ht="15.75" x14ac:dyDescent="0.25">
      <c r="A18" s="6" t="s">
        <v>34</v>
      </c>
      <c r="B18" s="5"/>
      <c r="C18" s="5"/>
      <c r="D18" s="5"/>
      <c r="E18" s="117">
        <f>SUM(E19:E24)</f>
        <v>166.59139199999998</v>
      </c>
      <c r="F18" s="119">
        <f>E18*F14</f>
        <v>205240.59494399998</v>
      </c>
    </row>
    <row r="19" spans="1:6" ht="15.75" x14ac:dyDescent="0.25">
      <c r="A19" s="6" t="s">
        <v>22</v>
      </c>
      <c r="B19" s="5"/>
      <c r="C19" s="5"/>
      <c r="D19" s="5"/>
      <c r="E19" s="14">
        <f>ROUND(13367*12/1973,2)</f>
        <v>81.3</v>
      </c>
      <c r="F19" s="120"/>
    </row>
    <row r="20" spans="1:6" ht="15.75" x14ac:dyDescent="0.25">
      <c r="A20" s="6" t="s">
        <v>18</v>
      </c>
      <c r="B20" s="5"/>
      <c r="C20" s="5"/>
      <c r="D20" s="5"/>
      <c r="E20" s="46">
        <f>ROUND(E19*20%,2)</f>
        <v>16.260000000000002</v>
      </c>
      <c r="F20" s="120"/>
    </row>
    <row r="21" spans="1:6" ht="15.75" x14ac:dyDescent="0.25">
      <c r="A21" s="6" t="s">
        <v>42</v>
      </c>
      <c r="B21" s="5"/>
      <c r="C21" s="5"/>
      <c r="D21" s="5"/>
      <c r="E21" s="46">
        <f>ROUND(E19*15%,2)</f>
        <v>12.2</v>
      </c>
      <c r="F21" s="120"/>
    </row>
    <row r="22" spans="1:6" ht="15.75" x14ac:dyDescent="0.25">
      <c r="A22" s="6" t="s">
        <v>19</v>
      </c>
      <c r="B22" s="5"/>
      <c r="C22" s="5"/>
      <c r="D22" s="5"/>
      <c r="E22" s="46">
        <f>ROUND(E19*30%,)</f>
        <v>24</v>
      </c>
      <c r="F22" s="120"/>
    </row>
    <row r="23" spans="1:6" ht="15.75" x14ac:dyDescent="0.25">
      <c r="A23" s="6" t="s">
        <v>9</v>
      </c>
      <c r="B23" s="5"/>
      <c r="C23" s="5"/>
      <c r="D23" s="5"/>
      <c r="E23" s="46">
        <f>(E19+E20+E21+E22)*15%</f>
        <v>20.063999999999997</v>
      </c>
      <c r="F23" s="120"/>
    </row>
    <row r="24" spans="1:6" ht="15.75" x14ac:dyDescent="0.25">
      <c r="A24" s="6" t="s">
        <v>41</v>
      </c>
      <c r="B24" s="5"/>
      <c r="C24" s="5"/>
      <c r="D24" s="5"/>
      <c r="E24" s="46">
        <f>(E19+E20+E21+E22+E23)*8.3%</f>
        <v>12.767391999999999</v>
      </c>
      <c r="F24" s="120"/>
    </row>
    <row r="25" spans="1:6" ht="15.75" x14ac:dyDescent="0.25">
      <c r="A25" s="6" t="s">
        <v>28</v>
      </c>
      <c r="B25" s="5"/>
      <c r="C25" s="5"/>
      <c r="D25" s="5"/>
      <c r="E25" s="118">
        <v>0.30199999999999999</v>
      </c>
      <c r="F25" s="119">
        <f>F18*E25</f>
        <v>61982.65967308799</v>
      </c>
    </row>
    <row r="26" spans="1:6" ht="15.75" x14ac:dyDescent="0.25">
      <c r="A26" s="6" t="s">
        <v>23</v>
      </c>
      <c r="B26" s="5"/>
      <c r="C26" s="5"/>
      <c r="D26" s="5"/>
      <c r="E26" s="15"/>
      <c r="F26" s="119">
        <f>F28+F30</f>
        <v>464531.76</v>
      </c>
    </row>
    <row r="27" spans="1:6" ht="15.75" x14ac:dyDescent="0.25">
      <c r="A27" s="6" t="s">
        <v>56</v>
      </c>
      <c r="B27" s="5"/>
      <c r="C27" s="5"/>
      <c r="D27" s="5"/>
      <c r="E27" s="117">
        <v>4.41</v>
      </c>
      <c r="F27" s="120">
        <f>E27*F14</f>
        <v>5433.12</v>
      </c>
    </row>
    <row r="28" spans="1:6" ht="16.5" customHeight="1" x14ac:dyDescent="0.25">
      <c r="A28" s="6" t="s">
        <v>211</v>
      </c>
      <c r="B28" s="5"/>
      <c r="C28" s="5"/>
      <c r="D28" s="5"/>
      <c r="E28" s="117">
        <v>60</v>
      </c>
      <c r="F28" s="120">
        <f>E28*F27</f>
        <v>325987.20000000001</v>
      </c>
    </row>
    <row r="29" spans="1:6" ht="15.75" x14ac:dyDescent="0.25">
      <c r="A29" s="6" t="s">
        <v>29</v>
      </c>
      <c r="B29" s="5"/>
      <c r="C29" s="5"/>
      <c r="D29" s="5"/>
      <c r="E29" s="118">
        <v>5.0999999999999997E-2</v>
      </c>
      <c r="F29" s="120">
        <f>E29*F27</f>
        <v>277.08911999999998</v>
      </c>
    </row>
    <row r="30" spans="1:6" ht="15.75" x14ac:dyDescent="0.25">
      <c r="A30" s="6" t="s">
        <v>212</v>
      </c>
      <c r="B30" s="5"/>
      <c r="C30" s="5"/>
      <c r="D30" s="5"/>
      <c r="E30" s="15">
        <v>500</v>
      </c>
      <c r="F30" s="120">
        <f>E30*F29</f>
        <v>138544.56</v>
      </c>
    </row>
    <row r="31" spans="1:6" ht="15.75" x14ac:dyDescent="0.25">
      <c r="A31" s="6" t="s">
        <v>139</v>
      </c>
      <c r="B31" s="5"/>
      <c r="C31" s="5"/>
      <c r="D31" s="5"/>
      <c r="E31" s="116">
        <v>0.35</v>
      </c>
      <c r="F31" s="119">
        <f>E31*E12</f>
        <v>496431.45649999997</v>
      </c>
    </row>
    <row r="32" spans="1:6" ht="15.75" x14ac:dyDescent="0.25">
      <c r="A32" s="6" t="s">
        <v>213</v>
      </c>
      <c r="B32" s="5"/>
      <c r="C32" s="5"/>
      <c r="D32" s="5"/>
      <c r="E32" s="15"/>
      <c r="F32" s="119">
        <v>1950</v>
      </c>
    </row>
    <row r="33" spans="1:8" ht="15.75" x14ac:dyDescent="0.25">
      <c r="A33" s="180" t="s">
        <v>214</v>
      </c>
      <c r="B33" s="181"/>
      <c r="C33" s="181"/>
      <c r="D33" s="182"/>
      <c r="E33" s="116">
        <v>0.2</v>
      </c>
      <c r="F33" s="119">
        <f>ROUND((F16+F18+F25+F26+F31)*E33,2)</f>
        <v>274004.81</v>
      </c>
      <c r="H33" s="94"/>
    </row>
    <row r="34" spans="1:8" ht="15.75" x14ac:dyDescent="0.25">
      <c r="A34" s="6" t="s">
        <v>215</v>
      </c>
      <c r="B34" s="5"/>
      <c r="C34" s="5"/>
      <c r="D34" s="5"/>
      <c r="E34" s="15"/>
      <c r="F34" s="121">
        <f>F33+F32+F31+F26+F25+F18+F16</f>
        <v>1645978.8401170881</v>
      </c>
    </row>
    <row r="35" spans="1:8" ht="15.75" x14ac:dyDescent="0.25">
      <c r="A35" s="6" t="s">
        <v>216</v>
      </c>
      <c r="B35" s="5"/>
      <c r="C35" s="5"/>
      <c r="D35" s="5"/>
      <c r="E35" s="116">
        <v>0.2</v>
      </c>
      <c r="F35" s="121">
        <f>F34*E35</f>
        <v>329195.76802341762</v>
      </c>
    </row>
    <row r="36" spans="1:8" ht="15.75" x14ac:dyDescent="0.25">
      <c r="A36" s="6" t="s">
        <v>1</v>
      </c>
      <c r="B36" s="5"/>
      <c r="C36" s="5"/>
      <c r="D36" s="5"/>
      <c r="E36" s="15"/>
      <c r="F36" s="121">
        <f>F34+F35</f>
        <v>1975174.6081405056</v>
      </c>
    </row>
    <row r="37" spans="1:8" ht="15.75" x14ac:dyDescent="0.25">
      <c r="A37" s="6" t="s">
        <v>217</v>
      </c>
      <c r="B37" s="5"/>
      <c r="C37" s="9"/>
      <c r="D37" s="5"/>
      <c r="E37" s="116">
        <v>0.15</v>
      </c>
      <c r="F37" s="121">
        <f>F36*E37</f>
        <v>296276.19122107583</v>
      </c>
    </row>
    <row r="38" spans="1:8" ht="15.75" x14ac:dyDescent="0.25">
      <c r="A38" s="180" t="s">
        <v>218</v>
      </c>
      <c r="B38" s="181"/>
      <c r="C38" s="181"/>
      <c r="D38" s="182"/>
      <c r="E38" s="116">
        <v>8.9999999999999993E-3</v>
      </c>
      <c r="F38" s="121">
        <f>(F36+F37)*E38</f>
        <v>20443.05719425423</v>
      </c>
    </row>
    <row r="39" spans="1:8" ht="15.75" x14ac:dyDescent="0.25">
      <c r="A39" s="6" t="s">
        <v>219</v>
      </c>
      <c r="B39" s="5"/>
      <c r="C39" s="5"/>
      <c r="D39" s="5"/>
      <c r="E39" s="15"/>
      <c r="F39" s="121">
        <f>F36+F37+F38</f>
        <v>2291893.8565558358</v>
      </c>
    </row>
    <row r="40" spans="1:8" ht="15.75" x14ac:dyDescent="0.25">
      <c r="A40" s="4" t="s">
        <v>220</v>
      </c>
      <c r="B40" s="5"/>
      <c r="C40" s="5"/>
      <c r="D40" s="5"/>
      <c r="E40" s="15"/>
      <c r="F40" s="121">
        <f>ROUND(F39/F14,0)</f>
        <v>1860</v>
      </c>
    </row>
    <row r="41" spans="1:8" ht="15.75" x14ac:dyDescent="0.25">
      <c r="A41" s="179"/>
      <c r="B41" s="179"/>
      <c r="C41" s="179"/>
      <c r="D41" s="179"/>
      <c r="E41" s="179"/>
      <c r="F41" s="179"/>
    </row>
    <row r="42" spans="1:8" ht="15.75" x14ac:dyDescent="0.25">
      <c r="A42" s="24" t="s">
        <v>136</v>
      </c>
      <c r="B42" s="24"/>
      <c r="C42" s="24"/>
      <c r="D42" s="24"/>
      <c r="E42" s="67"/>
      <c r="F42" s="67" t="s">
        <v>137</v>
      </c>
    </row>
    <row r="43" spans="1:8" ht="15.75" x14ac:dyDescent="0.25">
      <c r="A43" s="24"/>
      <c r="B43" s="25"/>
      <c r="C43" s="25"/>
      <c r="D43" s="74"/>
      <c r="E43" s="74"/>
      <c r="F43" s="74"/>
    </row>
  </sheetData>
  <mergeCells count="11">
    <mergeCell ref="A2:C3"/>
    <mergeCell ref="E2:F3"/>
    <mergeCell ref="A41:F41"/>
    <mergeCell ref="A7:F7"/>
    <mergeCell ref="A11:D11"/>
    <mergeCell ref="A15:D15"/>
    <mergeCell ref="A33:D33"/>
    <mergeCell ref="A38:D38"/>
    <mergeCell ref="A8:F8"/>
    <mergeCell ref="A17:D17"/>
    <mergeCell ref="A9:F9"/>
  </mergeCells>
  <pageMargins left="0.56999999999999995" right="0.21" top="0.4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43"/>
  <sheetViews>
    <sheetView zoomScale="90" zoomScaleNormal="90" workbookViewId="0">
      <selection activeCell="E5" sqref="E5"/>
    </sheetView>
  </sheetViews>
  <sheetFormatPr defaultRowHeight="15" x14ac:dyDescent="0.25"/>
  <cols>
    <col min="1" max="2" width="9.140625" style="29"/>
    <col min="3" max="3" width="15.28515625" style="29" customWidth="1"/>
    <col min="4" max="4" width="35.7109375" style="29" customWidth="1"/>
    <col min="5" max="5" width="11.42578125" style="29" customWidth="1"/>
    <col min="6" max="6" width="13.140625" style="29" customWidth="1"/>
    <col min="7" max="7" width="11.28515625" style="29" customWidth="1"/>
    <col min="8" max="8" width="12.5703125" style="29" customWidth="1"/>
    <col min="9" max="10" width="9.140625" style="29"/>
    <col min="11" max="11" width="10.42578125" style="29" bestFit="1" customWidth="1"/>
    <col min="12" max="16384" width="9.140625" style="29"/>
  </cols>
  <sheetData>
    <row r="2" spans="1:6" x14ac:dyDescent="0.25">
      <c r="A2" s="29" t="s">
        <v>15</v>
      </c>
      <c r="D2" s="30" t="s">
        <v>16</v>
      </c>
      <c r="E2" s="30"/>
      <c r="F2" s="30"/>
    </row>
    <row r="3" spans="1:6" ht="15.75" x14ac:dyDescent="0.25">
      <c r="A3" s="168" t="s">
        <v>150</v>
      </c>
      <c r="B3" s="168"/>
      <c r="C3" s="168"/>
      <c r="D3" s="103" t="s">
        <v>142</v>
      </c>
      <c r="E3" s="168" t="s">
        <v>143</v>
      </c>
      <c r="F3" s="168"/>
    </row>
    <row r="4" spans="1:6" ht="31.5" customHeight="1" x14ac:dyDescent="0.25">
      <c r="A4" s="168"/>
      <c r="B4" s="168"/>
      <c r="C4" s="168"/>
      <c r="D4" s="28"/>
      <c r="E4" s="168"/>
      <c r="F4" s="168"/>
    </row>
    <row r="5" spans="1:6" ht="27" customHeight="1" x14ac:dyDescent="0.25">
      <c r="A5" s="1" t="s">
        <v>274</v>
      </c>
      <c r="D5" s="30" t="s">
        <v>156</v>
      </c>
      <c r="E5" s="30"/>
      <c r="F5" s="30"/>
    </row>
    <row r="6" spans="1:6" x14ac:dyDescent="0.25">
      <c r="A6" s="29" t="s">
        <v>133</v>
      </c>
      <c r="D6" s="30" t="s">
        <v>157</v>
      </c>
      <c r="E6" s="30" t="s">
        <v>158</v>
      </c>
      <c r="F6" s="30"/>
    </row>
    <row r="7" spans="1:6" ht="15.75" x14ac:dyDescent="0.25">
      <c r="A7" s="1"/>
      <c r="B7" s="1"/>
      <c r="C7" s="1"/>
      <c r="D7" s="12"/>
      <c r="E7" s="12"/>
      <c r="F7" s="12"/>
    </row>
    <row r="8" spans="1:6" ht="18.75" x14ac:dyDescent="0.3">
      <c r="A8" s="54"/>
      <c r="B8" s="54"/>
      <c r="C8" s="54"/>
      <c r="D8" s="32" t="s">
        <v>44</v>
      </c>
      <c r="E8" s="54"/>
      <c r="F8" s="54"/>
    </row>
    <row r="9" spans="1:6" ht="18.75" x14ac:dyDescent="0.3">
      <c r="A9" s="54"/>
      <c r="B9" s="54" t="s">
        <v>95</v>
      </c>
      <c r="C9" s="54"/>
      <c r="D9" s="54"/>
      <c r="E9" s="54"/>
      <c r="F9" s="54"/>
    </row>
    <row r="10" spans="1:6" ht="18.75" x14ac:dyDescent="0.3">
      <c r="A10" s="167" t="s">
        <v>54</v>
      </c>
      <c r="B10" s="167"/>
      <c r="C10" s="167"/>
      <c r="D10" s="167"/>
      <c r="E10" s="167"/>
      <c r="F10" s="167"/>
    </row>
    <row r="12" spans="1:6" ht="31.5" x14ac:dyDescent="0.25">
      <c r="A12" s="172"/>
      <c r="B12" s="173"/>
      <c r="C12" s="173"/>
      <c r="D12" s="174"/>
      <c r="E12" s="44" t="s">
        <v>12</v>
      </c>
      <c r="F12" s="4" t="s">
        <v>13</v>
      </c>
    </row>
    <row r="13" spans="1:6" ht="15.75" x14ac:dyDescent="0.25">
      <c r="A13" s="6" t="s">
        <v>55</v>
      </c>
      <c r="B13" s="6"/>
      <c r="C13" s="6"/>
      <c r="D13" s="6"/>
      <c r="E13" s="44">
        <v>920000</v>
      </c>
      <c r="F13" s="113"/>
    </row>
    <row r="14" spans="1:6" ht="15.75" x14ac:dyDescent="0.25">
      <c r="A14" s="56" t="s">
        <v>37</v>
      </c>
      <c r="B14" s="57"/>
      <c r="C14" s="57"/>
      <c r="D14" s="22"/>
      <c r="E14" s="122">
        <v>0.125</v>
      </c>
      <c r="F14" s="113">
        <v>12.5</v>
      </c>
    </row>
    <row r="15" spans="1:6" ht="15.75" x14ac:dyDescent="0.25">
      <c r="A15" s="6" t="s">
        <v>5</v>
      </c>
      <c r="B15" s="6"/>
      <c r="C15" s="56"/>
      <c r="D15" s="57"/>
      <c r="E15" s="14" t="s">
        <v>30</v>
      </c>
      <c r="F15" s="113">
        <v>1000</v>
      </c>
    </row>
    <row r="16" spans="1:6" ht="15.75" x14ac:dyDescent="0.25">
      <c r="A16" s="180" t="s">
        <v>17</v>
      </c>
      <c r="B16" s="181"/>
      <c r="C16" s="181"/>
      <c r="D16" s="182"/>
      <c r="E16" s="14" t="s">
        <v>21</v>
      </c>
      <c r="F16" s="113">
        <f>F15*1.1</f>
        <v>1100</v>
      </c>
    </row>
    <row r="17" spans="1:6" ht="15.75" x14ac:dyDescent="0.25">
      <c r="A17" s="6" t="s">
        <v>35</v>
      </c>
      <c r="B17" s="6"/>
      <c r="C17" s="6"/>
      <c r="D17" s="6"/>
      <c r="E17" s="14"/>
      <c r="F17" s="114">
        <f>E13*F14%</f>
        <v>115000</v>
      </c>
    </row>
    <row r="18" spans="1:6" ht="15.75" x14ac:dyDescent="0.25">
      <c r="A18" s="6" t="s">
        <v>239</v>
      </c>
      <c r="B18" s="6"/>
      <c r="C18" s="6"/>
      <c r="D18" s="6"/>
      <c r="E18" s="46">
        <f>SUM(E19:E24)</f>
        <v>150.58735949999999</v>
      </c>
      <c r="F18" s="114">
        <f>E18*F15</f>
        <v>150587.35949999999</v>
      </c>
    </row>
    <row r="19" spans="1:6" ht="15.75" x14ac:dyDescent="0.25">
      <c r="A19" s="6" t="s">
        <v>22</v>
      </c>
      <c r="B19" s="6"/>
      <c r="C19" s="6"/>
      <c r="D19" s="6"/>
      <c r="E19" s="14">
        <f>ROUND(12047*12/1973,2)</f>
        <v>73.27</v>
      </c>
      <c r="F19" s="113"/>
    </row>
    <row r="20" spans="1:6" ht="15.75" x14ac:dyDescent="0.25">
      <c r="A20" s="6" t="s">
        <v>18</v>
      </c>
      <c r="B20" s="6"/>
      <c r="C20" s="6"/>
      <c r="D20" s="6"/>
      <c r="E20" s="46">
        <f>ROUND(E19*20%,2)</f>
        <v>14.65</v>
      </c>
      <c r="F20" s="113"/>
    </row>
    <row r="21" spans="1:6" ht="15.75" x14ac:dyDescent="0.25">
      <c r="A21" s="6" t="s">
        <v>42</v>
      </c>
      <c r="B21" s="6"/>
      <c r="C21" s="6"/>
      <c r="D21" s="6"/>
      <c r="E21" s="46">
        <f>ROUND(E19*15%,2)</f>
        <v>10.99</v>
      </c>
      <c r="F21" s="113"/>
    </row>
    <row r="22" spans="1:6" ht="15.75" x14ac:dyDescent="0.25">
      <c r="A22" s="6" t="s">
        <v>19</v>
      </c>
      <c r="B22" s="6"/>
      <c r="C22" s="6"/>
      <c r="D22" s="6"/>
      <c r="E22" s="46">
        <f>ROUND(E19*30%,)</f>
        <v>22</v>
      </c>
      <c r="F22" s="113"/>
    </row>
    <row r="23" spans="1:6" ht="15.75" x14ac:dyDescent="0.25">
      <c r="A23" s="6" t="s">
        <v>9</v>
      </c>
      <c r="B23" s="6"/>
      <c r="C23" s="6"/>
      <c r="D23" s="6"/>
      <c r="E23" s="46">
        <f>(E19+E20+E21+E22)*15%</f>
        <v>18.136499999999998</v>
      </c>
      <c r="F23" s="113"/>
    </row>
    <row r="24" spans="1:6" ht="15.75" x14ac:dyDescent="0.25">
      <c r="A24" s="6" t="s">
        <v>41</v>
      </c>
      <c r="B24" s="6"/>
      <c r="C24" s="6"/>
      <c r="D24" s="6"/>
      <c r="E24" s="46">
        <f>(E19+E20+E21+E22+E23)*8.3%</f>
        <v>11.5408595</v>
      </c>
      <c r="F24" s="113"/>
    </row>
    <row r="25" spans="1:6" ht="15.75" x14ac:dyDescent="0.25">
      <c r="A25" s="6" t="s">
        <v>32</v>
      </c>
      <c r="B25" s="6"/>
      <c r="C25" s="6"/>
      <c r="D25" s="6"/>
      <c r="E25" s="48">
        <v>0.30199999999999999</v>
      </c>
      <c r="F25" s="114">
        <f>F18*E25</f>
        <v>45477.382568999994</v>
      </c>
    </row>
    <row r="26" spans="1:6" ht="15.75" x14ac:dyDescent="0.25">
      <c r="A26" s="6" t="s">
        <v>23</v>
      </c>
      <c r="B26" s="6"/>
      <c r="C26" s="6"/>
      <c r="D26" s="6"/>
      <c r="E26" s="14"/>
      <c r="F26" s="114">
        <f>F28+F30</f>
        <v>594000</v>
      </c>
    </row>
    <row r="27" spans="1:6" ht="21.75" customHeight="1" x14ac:dyDescent="0.25">
      <c r="A27" s="6" t="s">
        <v>66</v>
      </c>
      <c r="B27" s="14"/>
      <c r="C27" s="6"/>
      <c r="D27" s="6"/>
      <c r="E27" s="46">
        <v>6.6</v>
      </c>
      <c r="F27" s="113">
        <f>E27*F15</f>
        <v>6600</v>
      </c>
    </row>
    <row r="28" spans="1:6" ht="15.75" x14ac:dyDescent="0.25">
      <c r="A28" s="6" t="s">
        <v>209</v>
      </c>
      <c r="B28" s="6"/>
      <c r="C28" s="6"/>
      <c r="D28" s="6"/>
      <c r="E28" s="46">
        <v>60</v>
      </c>
      <c r="F28" s="113">
        <f>E28*F27</f>
        <v>396000</v>
      </c>
    </row>
    <row r="29" spans="1:6" ht="15.75" x14ac:dyDescent="0.25">
      <c r="A29" s="6" t="s">
        <v>108</v>
      </c>
      <c r="B29" s="6"/>
      <c r="C29" s="6"/>
      <c r="D29" s="6"/>
      <c r="E29" s="48">
        <v>0.06</v>
      </c>
      <c r="F29" s="113">
        <f>E29*F27</f>
        <v>396</v>
      </c>
    </row>
    <row r="30" spans="1:6" ht="15.75" x14ac:dyDescent="0.25">
      <c r="A30" s="6" t="s">
        <v>210</v>
      </c>
      <c r="B30" s="6"/>
      <c r="C30" s="6"/>
      <c r="D30" s="6"/>
      <c r="E30" s="14">
        <v>500</v>
      </c>
      <c r="F30" s="113">
        <f>E30*F29</f>
        <v>198000</v>
      </c>
    </row>
    <row r="31" spans="1:6" ht="15.75" x14ac:dyDescent="0.25">
      <c r="A31" s="6" t="s">
        <v>65</v>
      </c>
      <c r="B31" s="6"/>
      <c r="C31" s="6"/>
      <c r="D31" s="6"/>
      <c r="E31" s="51">
        <v>0.3</v>
      </c>
      <c r="F31" s="114">
        <f>E31*E13</f>
        <v>276000</v>
      </c>
    </row>
    <row r="32" spans="1:6" ht="15.75" x14ac:dyDescent="0.25">
      <c r="A32" s="6" t="s">
        <v>2</v>
      </c>
      <c r="B32" s="6"/>
      <c r="C32" s="6"/>
      <c r="D32" s="6"/>
      <c r="E32" s="14"/>
      <c r="F32" s="114">
        <v>2250</v>
      </c>
    </row>
    <row r="33" spans="1:11" ht="15.75" x14ac:dyDescent="0.25">
      <c r="A33" s="180" t="s">
        <v>106</v>
      </c>
      <c r="B33" s="181"/>
      <c r="C33" s="181"/>
      <c r="D33" s="182"/>
      <c r="E33" s="51">
        <v>0.2</v>
      </c>
      <c r="F33" s="114">
        <f>ROUND((F17+F18+F25+F26+F31)*E33,2)</f>
        <v>236212.95</v>
      </c>
      <c r="H33" s="87"/>
      <c r="K33" s="87"/>
    </row>
    <row r="34" spans="1:11" ht="15.75" x14ac:dyDescent="0.25">
      <c r="A34" s="6" t="s">
        <v>20</v>
      </c>
      <c r="B34" s="6"/>
      <c r="C34" s="6"/>
      <c r="D34" s="6"/>
      <c r="E34" s="14"/>
      <c r="F34" s="115">
        <f>F33+F32+F31+F26+F25+F18+F17</f>
        <v>1419527.6920689999</v>
      </c>
    </row>
    <row r="35" spans="1:11" ht="15.75" x14ac:dyDescent="0.25">
      <c r="A35" s="6" t="s">
        <v>26</v>
      </c>
      <c r="B35" s="6"/>
      <c r="C35" s="6"/>
      <c r="D35" s="6"/>
      <c r="E35" s="51">
        <v>0.20349999999999999</v>
      </c>
      <c r="F35" s="115">
        <f>F34*E35</f>
        <v>288873.88533604145</v>
      </c>
    </row>
    <row r="36" spans="1:11" ht="15.75" x14ac:dyDescent="0.25">
      <c r="A36" s="6" t="s">
        <v>1</v>
      </c>
      <c r="B36" s="6"/>
      <c r="C36" s="6"/>
      <c r="D36" s="6"/>
      <c r="E36" s="14"/>
      <c r="F36" s="115">
        <f>F34+F35</f>
        <v>1708401.5774050413</v>
      </c>
    </row>
    <row r="37" spans="1:11" ht="15.75" x14ac:dyDescent="0.25">
      <c r="A37" s="6" t="s">
        <v>27</v>
      </c>
      <c r="B37" s="6"/>
      <c r="C37" s="55"/>
      <c r="D37" s="6"/>
      <c r="E37" s="51">
        <v>0.15</v>
      </c>
      <c r="F37" s="115">
        <f>F36*E37</f>
        <v>256260.2366107562</v>
      </c>
    </row>
    <row r="38" spans="1:11" ht="15.75" x14ac:dyDescent="0.25">
      <c r="A38" s="186" t="s">
        <v>38</v>
      </c>
      <c r="B38" s="186"/>
      <c r="C38" s="186"/>
      <c r="D38" s="186"/>
      <c r="E38" s="51">
        <v>0.01</v>
      </c>
      <c r="F38" s="115">
        <f>(F36+F37)*E38</f>
        <v>19646.618140157978</v>
      </c>
    </row>
    <row r="39" spans="1:11" ht="15.75" x14ac:dyDescent="0.25">
      <c r="A39" s="6" t="s">
        <v>24</v>
      </c>
      <c r="B39" s="6"/>
      <c r="C39" s="6"/>
      <c r="D39" s="6"/>
      <c r="E39" s="14"/>
      <c r="F39" s="115">
        <f>F36+F37+F38</f>
        <v>1984308.4321559556</v>
      </c>
    </row>
    <row r="40" spans="1:11" ht="15.75" x14ac:dyDescent="0.25">
      <c r="A40" s="4" t="s">
        <v>25</v>
      </c>
      <c r="B40" s="6"/>
      <c r="C40" s="6"/>
      <c r="D40" s="6"/>
      <c r="E40" s="14"/>
      <c r="F40" s="115">
        <f>ROUND(F39/F15,0)</f>
        <v>1984</v>
      </c>
    </row>
    <row r="41" spans="1:11" ht="16.5" customHeight="1" x14ac:dyDescent="0.25">
      <c r="A41" s="24"/>
      <c r="B41" s="24"/>
      <c r="C41" s="24"/>
      <c r="D41" s="24"/>
      <c r="E41" s="24"/>
      <c r="F41" s="24"/>
    </row>
    <row r="42" spans="1:11" ht="15.75" customHeight="1" x14ac:dyDescent="0.25">
      <c r="A42" s="24" t="s">
        <v>136</v>
      </c>
      <c r="B42" s="24"/>
      <c r="C42" s="24"/>
      <c r="D42" s="24"/>
      <c r="E42" s="67"/>
      <c r="F42" s="67" t="s">
        <v>137</v>
      </c>
    </row>
    <row r="43" spans="1:11" ht="18.75" customHeight="1" x14ac:dyDescent="0.25">
      <c r="A43" s="24"/>
      <c r="B43" s="24"/>
      <c r="C43" s="24"/>
      <c r="D43" s="24"/>
      <c r="E43" s="24"/>
      <c r="F43" s="24"/>
    </row>
  </sheetData>
  <mergeCells count="7">
    <mergeCell ref="A38:D38"/>
    <mergeCell ref="A10:F10"/>
    <mergeCell ref="A3:C4"/>
    <mergeCell ref="E3:F4"/>
    <mergeCell ref="A12:D12"/>
    <mergeCell ref="A16:D16"/>
    <mergeCell ref="A33:D33"/>
  </mergeCells>
  <pageMargins left="0.42" right="0.26" top="0.34" bottom="0.75" header="0.31" footer="0.3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zoomScale="90" zoomScaleNormal="90" workbookViewId="0">
      <selection activeCell="E4" sqref="E4"/>
    </sheetView>
  </sheetViews>
  <sheetFormatPr defaultRowHeight="15" x14ac:dyDescent="0.25"/>
  <cols>
    <col min="4" max="4" width="40.140625" customWidth="1"/>
    <col min="5" max="5" width="12.7109375" customWidth="1"/>
    <col min="6" max="6" width="14.85546875" customWidth="1"/>
    <col min="9" max="9" width="10.42578125" bestFit="1" customWidth="1"/>
  </cols>
  <sheetData>
    <row r="1" spans="1:6" ht="15.75" x14ac:dyDescent="0.25">
      <c r="A1" s="1" t="s">
        <v>15</v>
      </c>
      <c r="B1" s="11"/>
      <c r="C1" s="11"/>
      <c r="D1" s="12" t="s">
        <v>221</v>
      </c>
      <c r="E1" s="12" t="s">
        <v>222</v>
      </c>
      <c r="F1" s="13"/>
    </row>
    <row r="2" spans="1:6" ht="15.75" x14ac:dyDescent="0.25">
      <c r="A2" s="168" t="s">
        <v>141</v>
      </c>
      <c r="B2" s="168"/>
      <c r="C2" s="168"/>
      <c r="D2" s="103" t="s">
        <v>142</v>
      </c>
      <c r="E2" s="168" t="s">
        <v>143</v>
      </c>
      <c r="F2" s="168"/>
    </row>
    <row r="3" spans="1:6" ht="36" customHeight="1" x14ac:dyDescent="0.25">
      <c r="A3" s="168"/>
      <c r="B3" s="168"/>
      <c r="C3" s="168"/>
      <c r="D3" s="28"/>
      <c r="E3" s="168"/>
      <c r="F3" s="168"/>
    </row>
    <row r="4" spans="1:6" ht="16.5" customHeight="1" x14ac:dyDescent="0.25">
      <c r="A4" s="1" t="s">
        <v>274</v>
      </c>
      <c r="B4" s="11"/>
      <c r="C4" s="11"/>
      <c r="D4" s="12"/>
      <c r="E4" s="12"/>
      <c r="F4" s="13"/>
    </row>
    <row r="5" spans="1:6" ht="15.75" x14ac:dyDescent="0.25">
      <c r="A5" s="1" t="s">
        <v>133</v>
      </c>
      <c r="B5" s="11"/>
      <c r="C5" s="11"/>
      <c r="D5" s="12" t="s">
        <v>157</v>
      </c>
      <c r="E5" s="12" t="s">
        <v>163</v>
      </c>
      <c r="F5" s="13"/>
    </row>
    <row r="6" spans="1:6" ht="15.75" x14ac:dyDescent="0.25">
      <c r="A6" s="1"/>
      <c r="B6" s="11"/>
      <c r="C6" s="11"/>
      <c r="D6" s="12"/>
      <c r="E6" s="12"/>
      <c r="F6" s="13"/>
    </row>
    <row r="7" spans="1:6" ht="18.75" x14ac:dyDescent="0.3">
      <c r="A7" s="166" t="s">
        <v>44</v>
      </c>
      <c r="B7" s="166"/>
      <c r="C7" s="166"/>
      <c r="D7" s="166"/>
      <c r="E7" s="166"/>
      <c r="F7" s="166"/>
    </row>
    <row r="8" spans="1:6" ht="18.75" x14ac:dyDescent="0.3">
      <c r="A8" s="166" t="s">
        <v>166</v>
      </c>
      <c r="B8" s="166"/>
      <c r="C8" s="166"/>
      <c r="D8" s="166"/>
      <c r="E8" s="166"/>
      <c r="F8" s="166"/>
    </row>
    <row r="9" spans="1:6" ht="18.75" x14ac:dyDescent="0.3">
      <c r="A9" s="166" t="s">
        <v>51</v>
      </c>
      <c r="B9" s="166"/>
      <c r="C9" s="166"/>
      <c r="D9" s="166"/>
      <c r="E9" s="166"/>
      <c r="F9" s="166"/>
    </row>
    <row r="10" spans="1:6" ht="9.75" customHeight="1" x14ac:dyDescent="0.3">
      <c r="A10" s="2"/>
    </row>
    <row r="11" spans="1:6" ht="31.5" x14ac:dyDescent="0.25">
      <c r="A11" s="172"/>
      <c r="B11" s="173"/>
      <c r="C11" s="173"/>
      <c r="D11" s="174"/>
      <c r="E11" s="16" t="s">
        <v>12</v>
      </c>
      <c r="F11" s="17" t="s">
        <v>13</v>
      </c>
    </row>
    <row r="12" spans="1:6" ht="15.75" x14ac:dyDescent="0.25">
      <c r="A12" s="6" t="s">
        <v>62</v>
      </c>
      <c r="B12" s="5"/>
      <c r="C12" s="5"/>
      <c r="D12" s="5"/>
      <c r="E12" s="16">
        <v>267155.13</v>
      </c>
      <c r="F12" s="120"/>
    </row>
    <row r="13" spans="1:6" ht="15.75" x14ac:dyDescent="0.25">
      <c r="A13" s="90" t="s">
        <v>39</v>
      </c>
      <c r="B13" s="91"/>
      <c r="C13" s="91"/>
      <c r="D13" s="22"/>
      <c r="E13" s="21"/>
      <c r="F13" s="120">
        <v>12.5</v>
      </c>
    </row>
    <row r="14" spans="1:6" ht="15.75" x14ac:dyDescent="0.25">
      <c r="A14" s="6" t="s">
        <v>5</v>
      </c>
      <c r="B14" s="5"/>
      <c r="C14" s="7"/>
      <c r="D14" s="8"/>
      <c r="E14" s="15" t="s">
        <v>30</v>
      </c>
      <c r="F14" s="120">
        <v>1232</v>
      </c>
    </row>
    <row r="15" spans="1:6" ht="15.75" x14ac:dyDescent="0.25">
      <c r="A15" s="180" t="s">
        <v>17</v>
      </c>
      <c r="B15" s="181"/>
      <c r="C15" s="181"/>
      <c r="D15" s="182"/>
      <c r="E15" s="14" t="s">
        <v>21</v>
      </c>
      <c r="F15" s="120">
        <v>900</v>
      </c>
    </row>
    <row r="16" spans="1:6" ht="15.75" x14ac:dyDescent="0.25">
      <c r="A16" s="6" t="s">
        <v>67</v>
      </c>
      <c r="B16" s="5"/>
      <c r="C16" s="5"/>
      <c r="D16" s="5"/>
      <c r="E16" s="5"/>
      <c r="F16" s="119">
        <f>E12*F13%</f>
        <v>33394.391250000001</v>
      </c>
    </row>
    <row r="17" spans="1:6" ht="15.75" x14ac:dyDescent="0.25">
      <c r="A17" s="183"/>
      <c r="B17" s="184"/>
      <c r="C17" s="184"/>
      <c r="D17" s="185"/>
      <c r="E17" s="5" t="s">
        <v>36</v>
      </c>
      <c r="F17" s="119"/>
    </row>
    <row r="18" spans="1:6" ht="15.75" x14ac:dyDescent="0.25">
      <c r="A18" s="6" t="s">
        <v>240</v>
      </c>
      <c r="B18" s="5"/>
      <c r="C18" s="5"/>
      <c r="D18" s="18"/>
      <c r="E18" s="19">
        <f>SUM(E19:E24)</f>
        <v>135.85368600000001</v>
      </c>
      <c r="F18" s="119">
        <f>F14*E18</f>
        <v>167371.741152</v>
      </c>
    </row>
    <row r="19" spans="1:6" ht="15.75" x14ac:dyDescent="0.25">
      <c r="A19" s="6" t="s">
        <v>22</v>
      </c>
      <c r="B19" s="5"/>
      <c r="C19" s="5"/>
      <c r="D19" s="5"/>
      <c r="E19" s="14">
        <f>ROUND(10849*12/1973,2)</f>
        <v>65.98</v>
      </c>
      <c r="F19" s="120"/>
    </row>
    <row r="20" spans="1:6" ht="15.75" x14ac:dyDescent="0.25">
      <c r="A20" s="6" t="s">
        <v>18</v>
      </c>
      <c r="B20" s="5"/>
      <c r="C20" s="5"/>
      <c r="D20" s="5"/>
      <c r="E20" s="46">
        <f>ROUND(E19*20%,2)</f>
        <v>13.2</v>
      </c>
      <c r="F20" s="120"/>
    </row>
    <row r="21" spans="1:6" ht="15.75" x14ac:dyDescent="0.25">
      <c r="A21" s="6" t="s">
        <v>42</v>
      </c>
      <c r="B21" s="5"/>
      <c r="C21" s="5"/>
      <c r="D21" s="5"/>
      <c r="E21" s="46">
        <f>ROUND(E19*15%,2)</f>
        <v>9.9</v>
      </c>
      <c r="F21" s="120"/>
    </row>
    <row r="22" spans="1:6" ht="15.75" x14ac:dyDescent="0.25">
      <c r="A22" s="6" t="s">
        <v>94</v>
      </c>
      <c r="B22" s="5"/>
      <c r="C22" s="5"/>
      <c r="D22" s="5"/>
      <c r="E22" s="46">
        <f>ROUND(E19*30%,)</f>
        <v>20</v>
      </c>
      <c r="F22" s="120"/>
    </row>
    <row r="23" spans="1:6" ht="15.75" x14ac:dyDescent="0.25">
      <c r="A23" s="6" t="s">
        <v>9</v>
      </c>
      <c r="B23" s="5"/>
      <c r="C23" s="5"/>
      <c r="D23" s="5"/>
      <c r="E23" s="46">
        <f>(E19+E20+E21+E22)*15%</f>
        <v>16.362000000000002</v>
      </c>
      <c r="F23" s="120"/>
    </row>
    <row r="24" spans="1:6" ht="15.75" x14ac:dyDescent="0.25">
      <c r="A24" s="6" t="s">
        <v>41</v>
      </c>
      <c r="B24" s="5"/>
      <c r="C24" s="5"/>
      <c r="D24" s="5"/>
      <c r="E24" s="46">
        <f>(E19+E20+E21+E22+E23)*8.3%</f>
        <v>10.411686000000001</v>
      </c>
      <c r="F24" s="120"/>
    </row>
    <row r="25" spans="1:6" ht="15.75" x14ac:dyDescent="0.25">
      <c r="A25" s="6" t="s">
        <v>28</v>
      </c>
      <c r="B25" s="5"/>
      <c r="C25" s="5"/>
      <c r="D25" s="5"/>
      <c r="E25" s="20">
        <v>0.30199999999999999</v>
      </c>
      <c r="F25" s="119">
        <f>F18*E25</f>
        <v>50546.265827903997</v>
      </c>
    </row>
    <row r="26" spans="1:6" ht="15.75" x14ac:dyDescent="0.25">
      <c r="A26" s="6" t="s">
        <v>23</v>
      </c>
      <c r="B26" s="5"/>
      <c r="C26" s="5"/>
      <c r="D26" s="5"/>
      <c r="E26" s="5"/>
      <c r="F26" s="119">
        <f>F28+F30</f>
        <v>754600</v>
      </c>
    </row>
    <row r="27" spans="1:6" ht="15.75" x14ac:dyDescent="0.25">
      <c r="A27" s="6" t="s">
        <v>109</v>
      </c>
      <c r="B27" s="5"/>
      <c r="C27" s="5"/>
      <c r="D27" s="5"/>
      <c r="E27" s="34">
        <v>7</v>
      </c>
      <c r="F27" s="120">
        <f>E27*F14</f>
        <v>8624</v>
      </c>
    </row>
    <row r="28" spans="1:6" ht="16.5" customHeight="1" x14ac:dyDescent="0.25">
      <c r="A28" s="6" t="s">
        <v>211</v>
      </c>
      <c r="B28" s="5"/>
      <c r="C28" s="5"/>
      <c r="D28" s="5"/>
      <c r="E28" s="19">
        <v>60</v>
      </c>
      <c r="F28" s="120">
        <f>E28*F27</f>
        <v>517440</v>
      </c>
    </row>
    <row r="29" spans="1:6" ht="15.75" x14ac:dyDescent="0.25">
      <c r="A29" s="6" t="s">
        <v>29</v>
      </c>
      <c r="B29" s="5"/>
      <c r="C29" s="5"/>
      <c r="D29" s="5"/>
      <c r="E29" s="20">
        <v>5.5E-2</v>
      </c>
      <c r="F29" s="120">
        <f>E29*F27</f>
        <v>474.32</v>
      </c>
    </row>
    <row r="30" spans="1:6" ht="15.75" x14ac:dyDescent="0.25">
      <c r="A30" s="6" t="s">
        <v>212</v>
      </c>
      <c r="B30" s="5"/>
      <c r="C30" s="5"/>
      <c r="D30" s="5"/>
      <c r="E30" s="5">
        <v>500</v>
      </c>
      <c r="F30" s="120">
        <f>E30*F29</f>
        <v>237160</v>
      </c>
    </row>
    <row r="31" spans="1:6" ht="15.75" x14ac:dyDescent="0.25">
      <c r="A31" s="6" t="s">
        <v>57</v>
      </c>
      <c r="B31" s="5"/>
      <c r="C31" s="5"/>
      <c r="D31" s="5"/>
      <c r="E31" s="21">
        <v>0.50349999999999995</v>
      </c>
      <c r="F31" s="119">
        <f>E31*E12</f>
        <v>134512.60795499998</v>
      </c>
    </row>
    <row r="32" spans="1:6" ht="15.75" x14ac:dyDescent="0.25">
      <c r="A32" s="6" t="s">
        <v>2</v>
      </c>
      <c r="B32" s="5"/>
      <c r="C32" s="5"/>
      <c r="D32" s="5"/>
      <c r="E32" s="5"/>
      <c r="F32" s="119">
        <v>1875</v>
      </c>
    </row>
    <row r="33" spans="1:9" ht="15.75" x14ac:dyDescent="0.25">
      <c r="A33" s="180" t="s">
        <v>106</v>
      </c>
      <c r="B33" s="181"/>
      <c r="C33" s="181"/>
      <c r="D33" s="182"/>
      <c r="E33" s="21">
        <v>0.2</v>
      </c>
      <c r="F33" s="119">
        <f>ROUND((F16+F18+F25+F26+F31)*E33,2)</f>
        <v>228085</v>
      </c>
      <c r="I33" s="94"/>
    </row>
    <row r="34" spans="1:9" ht="15.75" x14ac:dyDescent="0.25">
      <c r="A34" s="6" t="s">
        <v>20</v>
      </c>
      <c r="B34" s="5"/>
      <c r="C34" s="5"/>
      <c r="D34" s="5"/>
      <c r="E34" s="5"/>
      <c r="F34" s="121">
        <f>F33+F32+F31+F26+F25+F18+F16</f>
        <v>1370385.0061849039</v>
      </c>
    </row>
    <row r="35" spans="1:9" ht="15.75" x14ac:dyDescent="0.25">
      <c r="A35" s="6" t="s">
        <v>26</v>
      </c>
      <c r="B35" s="5"/>
      <c r="C35" s="5"/>
      <c r="D35" s="5"/>
      <c r="E35" s="21">
        <v>0.251</v>
      </c>
      <c r="F35" s="121">
        <f>F34*E35</f>
        <v>343966.6365524109</v>
      </c>
    </row>
    <row r="36" spans="1:9" ht="15.75" x14ac:dyDescent="0.25">
      <c r="A36" s="6" t="s">
        <v>1</v>
      </c>
      <c r="B36" s="5"/>
      <c r="C36" s="5"/>
      <c r="D36" s="5"/>
      <c r="E36" s="5"/>
      <c r="F36" s="121">
        <f>F34+F35</f>
        <v>1714351.6427373148</v>
      </c>
    </row>
    <row r="37" spans="1:9" ht="15.75" x14ac:dyDescent="0.25">
      <c r="A37" s="6" t="s">
        <v>27</v>
      </c>
      <c r="B37" s="5"/>
      <c r="C37" s="9"/>
      <c r="D37" s="5"/>
      <c r="E37" s="21">
        <v>0.15</v>
      </c>
      <c r="F37" s="121">
        <f>F36*E37</f>
        <v>257152.7464105972</v>
      </c>
    </row>
    <row r="38" spans="1:9" ht="15.75" x14ac:dyDescent="0.25">
      <c r="A38" s="180" t="s">
        <v>38</v>
      </c>
      <c r="B38" s="181"/>
      <c r="C38" s="181"/>
      <c r="D38" s="182"/>
      <c r="E38" s="21">
        <v>0.01</v>
      </c>
      <c r="F38" s="121">
        <f>(F36+F37)*E38</f>
        <v>19715.043891479119</v>
      </c>
    </row>
    <row r="39" spans="1:9" ht="15.75" x14ac:dyDescent="0.25">
      <c r="A39" s="6" t="s">
        <v>24</v>
      </c>
      <c r="B39" s="5"/>
      <c r="C39" s="5"/>
      <c r="D39" s="5"/>
      <c r="E39" s="5"/>
      <c r="F39" s="121">
        <f>F36+F37+F38</f>
        <v>1991219.4330393909</v>
      </c>
    </row>
    <row r="40" spans="1:9" ht="15.75" x14ac:dyDescent="0.25">
      <c r="A40" s="4" t="s">
        <v>31</v>
      </c>
      <c r="B40" s="5"/>
      <c r="C40" s="5"/>
      <c r="D40" s="5"/>
      <c r="E40" s="5"/>
      <c r="F40" s="121">
        <f>ROUND(F39/F14,0)</f>
        <v>1616</v>
      </c>
    </row>
    <row r="41" spans="1:9" ht="15.75" x14ac:dyDescent="0.25">
      <c r="A41" s="179"/>
      <c r="B41" s="179"/>
      <c r="C41" s="179"/>
      <c r="D41" s="179"/>
      <c r="E41" s="179"/>
      <c r="F41" s="179"/>
    </row>
    <row r="42" spans="1:9" ht="15.75" x14ac:dyDescent="0.25">
      <c r="A42" s="24" t="s">
        <v>136</v>
      </c>
      <c r="B42" s="24"/>
      <c r="C42" s="24"/>
      <c r="D42" s="24"/>
      <c r="E42" s="67"/>
      <c r="F42" s="67" t="s">
        <v>137</v>
      </c>
    </row>
    <row r="43" spans="1:9" ht="15.75" x14ac:dyDescent="0.25">
      <c r="A43" s="24"/>
      <c r="B43" s="25"/>
      <c r="C43" s="25"/>
      <c r="D43" s="74"/>
      <c r="E43" s="74"/>
      <c r="F43" s="74"/>
    </row>
  </sheetData>
  <mergeCells count="11">
    <mergeCell ref="A2:C3"/>
    <mergeCell ref="E2:F3"/>
    <mergeCell ref="A9:F9"/>
    <mergeCell ref="A38:D38"/>
    <mergeCell ref="A41:F41"/>
    <mergeCell ref="A7:F7"/>
    <mergeCell ref="A8:F8"/>
    <mergeCell ref="A11:D11"/>
    <mergeCell ref="A15:D15"/>
    <mergeCell ref="A17:D17"/>
    <mergeCell ref="A33:D33"/>
  </mergeCells>
  <pageMargins left="0.56999999999999995" right="0.21" top="0.4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workbookViewId="0">
      <selection activeCell="E4" sqref="E4"/>
    </sheetView>
  </sheetViews>
  <sheetFormatPr defaultRowHeight="15" x14ac:dyDescent="0.25"/>
  <cols>
    <col min="1" max="2" width="9.140625" style="29"/>
    <col min="3" max="3" width="15.7109375" style="29" customWidth="1"/>
    <col min="4" max="4" width="37.85546875" style="29" customWidth="1"/>
    <col min="5" max="5" width="10" style="29" customWidth="1"/>
    <col min="6" max="6" width="13.85546875" style="29" customWidth="1"/>
    <col min="7" max="7" width="9.5703125" style="29" bestFit="1" customWidth="1"/>
    <col min="8" max="8" width="9.42578125" style="29" bestFit="1" customWidth="1"/>
    <col min="9" max="16384" width="9.140625" style="29"/>
  </cols>
  <sheetData>
    <row r="1" spans="1:6" ht="15.75" x14ac:dyDescent="0.25">
      <c r="A1" s="1" t="s">
        <v>15</v>
      </c>
      <c r="B1" s="1"/>
      <c r="C1" s="1"/>
      <c r="D1" s="12" t="s">
        <v>84</v>
      </c>
      <c r="E1" s="12"/>
      <c r="F1" s="12"/>
    </row>
    <row r="2" spans="1:6" ht="15" customHeight="1" x14ac:dyDescent="0.25">
      <c r="A2" s="168" t="s">
        <v>141</v>
      </c>
      <c r="B2" s="168"/>
      <c r="C2" s="168"/>
      <c r="D2" s="103" t="s">
        <v>142</v>
      </c>
      <c r="E2" s="168" t="s">
        <v>143</v>
      </c>
      <c r="F2" s="168"/>
    </row>
    <row r="3" spans="1:6" ht="31.5" customHeight="1" x14ac:dyDescent="0.25">
      <c r="A3" s="168"/>
      <c r="B3" s="168"/>
      <c r="C3" s="168"/>
      <c r="D3" s="28"/>
      <c r="E3" s="168"/>
      <c r="F3" s="168"/>
    </row>
    <row r="4" spans="1:6" ht="15.75" x14ac:dyDescent="0.25">
      <c r="A4" s="1" t="s">
        <v>274</v>
      </c>
      <c r="B4" s="1"/>
      <c r="C4" s="1"/>
      <c r="D4" s="12" t="s">
        <v>164</v>
      </c>
      <c r="E4" s="12"/>
      <c r="F4" s="12"/>
    </row>
    <row r="5" spans="1:6" ht="15.75" x14ac:dyDescent="0.25">
      <c r="A5" s="1" t="s">
        <v>133</v>
      </c>
      <c r="B5" s="1"/>
      <c r="C5" s="1"/>
      <c r="D5" s="12" t="s">
        <v>165</v>
      </c>
      <c r="E5" s="12" t="s">
        <v>162</v>
      </c>
      <c r="F5" s="12"/>
    </row>
    <row r="6" spans="1:6" ht="15.75" x14ac:dyDescent="0.25">
      <c r="A6" s="1"/>
      <c r="B6" s="1"/>
      <c r="C6" s="1"/>
      <c r="D6" s="12"/>
      <c r="E6" s="12"/>
      <c r="F6" s="12"/>
    </row>
    <row r="7" spans="1:6" ht="15.75" x14ac:dyDescent="0.25">
      <c r="A7" s="84"/>
      <c r="B7" s="84" t="s">
        <v>85</v>
      </c>
      <c r="C7" s="84"/>
      <c r="D7" s="84"/>
      <c r="E7" s="84"/>
      <c r="F7" s="84"/>
    </row>
    <row r="8" spans="1:6" ht="15.75" x14ac:dyDescent="0.25">
      <c r="A8" s="187" t="s">
        <v>86</v>
      </c>
      <c r="B8" s="187"/>
      <c r="C8" s="187"/>
      <c r="D8" s="187"/>
      <c r="E8" s="187"/>
      <c r="F8" s="187"/>
    </row>
    <row r="9" spans="1:6" ht="15.75" x14ac:dyDescent="0.25">
      <c r="A9" s="83"/>
      <c r="B9" s="83"/>
      <c r="C9" s="83"/>
      <c r="D9" s="83"/>
      <c r="E9" s="83"/>
      <c r="F9" s="83"/>
    </row>
    <row r="10" spans="1:6" ht="31.5" x14ac:dyDescent="0.25">
      <c r="A10" s="172"/>
      <c r="B10" s="173"/>
      <c r="C10" s="173"/>
      <c r="D10" s="174"/>
      <c r="E10" s="44" t="s">
        <v>12</v>
      </c>
      <c r="F10" s="4" t="s">
        <v>13</v>
      </c>
    </row>
    <row r="11" spans="1:6" ht="15.75" x14ac:dyDescent="0.25">
      <c r="A11" s="6" t="s">
        <v>87</v>
      </c>
      <c r="B11" s="6"/>
      <c r="C11" s="6"/>
      <c r="D11" s="6"/>
      <c r="E11" s="85">
        <v>619990</v>
      </c>
      <c r="F11" s="113"/>
    </row>
    <row r="12" spans="1:6" ht="15.75" x14ac:dyDescent="0.25">
      <c r="A12" s="81" t="s">
        <v>37</v>
      </c>
      <c r="B12" s="82"/>
      <c r="C12" s="82"/>
      <c r="D12" s="22"/>
      <c r="E12" s="51">
        <v>0.125</v>
      </c>
      <c r="F12" s="123">
        <v>12.5</v>
      </c>
    </row>
    <row r="13" spans="1:6" ht="15.75" x14ac:dyDescent="0.25">
      <c r="A13" s="6" t="s">
        <v>5</v>
      </c>
      <c r="B13" s="6"/>
      <c r="C13" s="81"/>
      <c r="D13" s="82"/>
      <c r="E13" s="14" t="s">
        <v>30</v>
      </c>
      <c r="F13" s="123">
        <v>1650</v>
      </c>
    </row>
    <row r="14" spans="1:6" ht="15.75" x14ac:dyDescent="0.25">
      <c r="A14" s="180" t="s">
        <v>88</v>
      </c>
      <c r="B14" s="181"/>
      <c r="C14" s="181"/>
      <c r="D14" s="182"/>
      <c r="E14" s="14" t="s">
        <v>89</v>
      </c>
      <c r="F14" s="123">
        <v>30000</v>
      </c>
    </row>
    <row r="15" spans="1:6" ht="15.75" x14ac:dyDescent="0.25">
      <c r="A15" s="6" t="s">
        <v>67</v>
      </c>
      <c r="B15" s="6"/>
      <c r="C15" s="6"/>
      <c r="D15" s="6"/>
      <c r="E15" s="14"/>
      <c r="F15" s="124">
        <f>E11*F12%</f>
        <v>77498.75</v>
      </c>
    </row>
    <row r="16" spans="1:6" ht="15.75" x14ac:dyDescent="0.25">
      <c r="A16" s="6" t="s">
        <v>90</v>
      </c>
      <c r="B16" s="6"/>
      <c r="C16" s="6"/>
      <c r="D16" s="6"/>
      <c r="E16" s="46">
        <f>SUM(E17:E22)</f>
        <v>135.85368600000001</v>
      </c>
      <c r="F16" s="124">
        <f>E16*F13</f>
        <v>224158.58190000002</v>
      </c>
    </row>
    <row r="17" spans="1:8" ht="15.75" x14ac:dyDescent="0.25">
      <c r="A17" s="6" t="s">
        <v>241</v>
      </c>
      <c r="B17" s="6"/>
      <c r="C17" s="6"/>
      <c r="D17" s="70"/>
      <c r="E17" s="14">
        <f>ROUND(10849*12/1973,2)</f>
        <v>65.98</v>
      </c>
      <c r="F17" s="123"/>
    </row>
    <row r="18" spans="1:8" ht="15.75" x14ac:dyDescent="0.25">
      <c r="A18" s="6" t="s">
        <v>98</v>
      </c>
      <c r="B18" s="6"/>
      <c r="C18" s="6"/>
      <c r="D18" s="6"/>
      <c r="E18" s="46">
        <f>ROUND(E17*20%,2)</f>
        <v>13.2</v>
      </c>
      <c r="F18" s="123"/>
    </row>
    <row r="19" spans="1:8" ht="15.75" x14ac:dyDescent="0.25">
      <c r="A19" s="6" t="s">
        <v>103</v>
      </c>
      <c r="B19" s="6"/>
      <c r="C19" s="6"/>
      <c r="D19" s="6"/>
      <c r="E19" s="46">
        <f>ROUND(E17*15%,2)</f>
        <v>9.9</v>
      </c>
      <c r="F19" s="123"/>
    </row>
    <row r="20" spans="1:8" ht="15.75" x14ac:dyDescent="0.25">
      <c r="A20" s="6" t="s">
        <v>19</v>
      </c>
      <c r="B20" s="6"/>
      <c r="C20" s="6"/>
      <c r="D20" s="6"/>
      <c r="E20" s="46">
        <f>ROUND(E17*30%,)</f>
        <v>20</v>
      </c>
      <c r="F20" s="123"/>
    </row>
    <row r="21" spans="1:8" ht="15.75" x14ac:dyDescent="0.25">
      <c r="A21" s="6" t="s">
        <v>9</v>
      </c>
      <c r="B21" s="6"/>
      <c r="C21" s="6"/>
      <c r="D21" s="6"/>
      <c r="E21" s="46">
        <f>(E17+E18+E19+E20)*15%</f>
        <v>16.362000000000002</v>
      </c>
      <c r="F21" s="123"/>
    </row>
    <row r="22" spans="1:8" ht="15.75" x14ac:dyDescent="0.25">
      <c r="A22" s="6" t="s">
        <v>41</v>
      </c>
      <c r="B22" s="6"/>
      <c r="C22" s="6"/>
      <c r="D22" s="6"/>
      <c r="E22" s="46">
        <f>(E17+E18+E19+E20+E21)*8.3%</f>
        <v>10.411686000000001</v>
      </c>
      <c r="F22" s="123"/>
    </row>
    <row r="23" spans="1:8" ht="15.75" x14ac:dyDescent="0.25">
      <c r="A23" s="6" t="s">
        <v>32</v>
      </c>
      <c r="B23" s="6"/>
      <c r="C23" s="6"/>
      <c r="D23" s="6"/>
      <c r="E23" s="48">
        <v>0.30199999999999999</v>
      </c>
      <c r="F23" s="124">
        <f>F16*E23</f>
        <v>67695.891733800003</v>
      </c>
    </row>
    <row r="24" spans="1:8" ht="15.75" x14ac:dyDescent="0.25">
      <c r="A24" s="6" t="s">
        <v>23</v>
      </c>
      <c r="B24" s="6"/>
      <c r="C24" s="6"/>
      <c r="D24" s="6"/>
      <c r="E24" s="14"/>
      <c r="F24" s="124">
        <f>F28+F30</f>
        <v>309540</v>
      </c>
    </row>
    <row r="25" spans="1:8" ht="15.75" x14ac:dyDescent="0.25">
      <c r="A25" s="6" t="s">
        <v>102</v>
      </c>
      <c r="B25" s="6"/>
      <c r="C25" s="6"/>
      <c r="D25" s="6"/>
      <c r="E25" s="46">
        <v>14</v>
      </c>
      <c r="F25" s="123">
        <f>E25*F14/100</f>
        <v>4200</v>
      </c>
    </row>
    <row r="26" spans="1:8" ht="15.75" x14ac:dyDescent="0.25">
      <c r="A26" s="6" t="s">
        <v>14</v>
      </c>
      <c r="B26" s="6"/>
      <c r="C26" s="6"/>
      <c r="D26" s="6"/>
      <c r="E26" s="51">
        <v>0.1</v>
      </c>
      <c r="F26" s="123">
        <f>F25*E26</f>
        <v>420</v>
      </c>
    </row>
    <row r="27" spans="1:8" ht="15.75" x14ac:dyDescent="0.25">
      <c r="A27" s="81" t="s">
        <v>0</v>
      </c>
      <c r="B27" s="82"/>
      <c r="C27" s="82"/>
      <c r="D27" s="82"/>
      <c r="E27" s="51"/>
      <c r="F27" s="123">
        <f>F25+F26</f>
        <v>4620</v>
      </c>
    </row>
    <row r="28" spans="1:8" ht="15.75" x14ac:dyDescent="0.25">
      <c r="A28" s="6" t="s">
        <v>93</v>
      </c>
      <c r="B28" s="6"/>
      <c r="C28" s="6"/>
      <c r="D28" s="6"/>
      <c r="E28" s="125">
        <v>55</v>
      </c>
      <c r="F28" s="123">
        <f>E28*F27</f>
        <v>254100</v>
      </c>
    </row>
    <row r="29" spans="1:8" ht="15.75" x14ac:dyDescent="0.25">
      <c r="A29" s="6" t="s">
        <v>91</v>
      </c>
      <c r="B29" s="6"/>
      <c r="C29" s="6"/>
      <c r="D29" s="6"/>
      <c r="E29" s="48">
        <v>2.4E-2</v>
      </c>
      <c r="F29" s="123">
        <f>E29*F27</f>
        <v>110.88</v>
      </c>
    </row>
    <row r="30" spans="1:8" ht="15.75" x14ac:dyDescent="0.25">
      <c r="A30" s="6" t="s">
        <v>243</v>
      </c>
      <c r="B30" s="6"/>
      <c r="C30" s="6"/>
      <c r="D30" s="6"/>
      <c r="E30" s="14">
        <v>500</v>
      </c>
      <c r="F30" s="123">
        <f>E30*F29</f>
        <v>55440</v>
      </c>
    </row>
    <row r="31" spans="1:8" ht="15.75" x14ac:dyDescent="0.25">
      <c r="A31" s="6" t="s">
        <v>92</v>
      </c>
      <c r="B31" s="6"/>
      <c r="C31" s="6"/>
      <c r="D31" s="6"/>
      <c r="E31" s="51">
        <v>0.5</v>
      </c>
      <c r="F31" s="124">
        <f>ROUND(F15*E31,2)</f>
        <v>38749.379999999997</v>
      </c>
      <c r="H31" s="87"/>
    </row>
    <row r="32" spans="1:8" ht="15.75" x14ac:dyDescent="0.25">
      <c r="A32" s="6" t="s">
        <v>2</v>
      </c>
      <c r="B32" s="6"/>
      <c r="C32" s="6"/>
      <c r="D32" s="6"/>
      <c r="E32" s="14"/>
      <c r="F32" s="124">
        <v>4488</v>
      </c>
    </row>
    <row r="33" spans="1:8" ht="15.75" x14ac:dyDescent="0.25">
      <c r="A33" s="180" t="s">
        <v>104</v>
      </c>
      <c r="B33" s="181"/>
      <c r="C33" s="181"/>
      <c r="D33" s="182"/>
      <c r="E33" s="51">
        <v>0.2</v>
      </c>
      <c r="F33" s="124">
        <f>ROUND((F15+F16+F23+F24+F31)*E33,2)</f>
        <v>143528.51999999999</v>
      </c>
    </row>
    <row r="34" spans="1:8" ht="15.75" x14ac:dyDescent="0.25">
      <c r="A34" s="6" t="s">
        <v>20</v>
      </c>
      <c r="B34" s="6"/>
      <c r="C34" s="6"/>
      <c r="D34" s="6"/>
      <c r="E34" s="14"/>
      <c r="F34" s="124">
        <f>F33+F32+F31+F24+F23+F16+F15</f>
        <v>865659.12363379996</v>
      </c>
    </row>
    <row r="35" spans="1:8" ht="15.75" x14ac:dyDescent="0.25">
      <c r="A35" s="6" t="s">
        <v>26</v>
      </c>
      <c r="B35" s="6"/>
      <c r="C35" s="6"/>
      <c r="D35" s="6"/>
      <c r="E35" s="51">
        <v>0.2</v>
      </c>
      <c r="F35" s="124">
        <f>F34*E35</f>
        <v>173131.82472676001</v>
      </c>
    </row>
    <row r="36" spans="1:8" ht="15.75" x14ac:dyDescent="0.25">
      <c r="A36" s="6" t="s">
        <v>1</v>
      </c>
      <c r="B36" s="6"/>
      <c r="C36" s="6"/>
      <c r="D36" s="6"/>
      <c r="E36" s="14"/>
      <c r="F36" s="124">
        <f>F34+F35</f>
        <v>1038790.94836056</v>
      </c>
    </row>
    <row r="37" spans="1:8" ht="15.75" x14ac:dyDescent="0.25">
      <c r="A37" s="6" t="s">
        <v>27</v>
      </c>
      <c r="B37" s="6"/>
      <c r="C37" s="80"/>
      <c r="D37" s="6"/>
      <c r="E37" s="51">
        <v>0.35</v>
      </c>
      <c r="F37" s="124">
        <f>F36*E37</f>
        <v>363576.831926196</v>
      </c>
    </row>
    <row r="38" spans="1:8" ht="15.75" x14ac:dyDescent="0.25">
      <c r="A38" s="180" t="s">
        <v>38</v>
      </c>
      <c r="B38" s="181"/>
      <c r="C38" s="181"/>
      <c r="D38" s="182"/>
      <c r="E38" s="51">
        <v>0.01</v>
      </c>
      <c r="F38" s="124">
        <f>(F36+F37)*E38</f>
        <v>14023.67780286756</v>
      </c>
    </row>
    <row r="39" spans="1:8" ht="15.75" x14ac:dyDescent="0.25">
      <c r="A39" s="6" t="s">
        <v>24</v>
      </c>
      <c r="B39" s="6"/>
      <c r="C39" s="6"/>
      <c r="D39" s="6"/>
      <c r="E39" s="14"/>
      <c r="F39" s="124">
        <f>F36+F37+F38</f>
        <v>1416391.4580896234</v>
      </c>
      <c r="H39" s="87"/>
    </row>
    <row r="40" spans="1:8" ht="15.75" x14ac:dyDescent="0.25">
      <c r="A40" s="4" t="s">
        <v>25</v>
      </c>
      <c r="B40" s="6"/>
      <c r="C40" s="6"/>
      <c r="D40" s="6"/>
      <c r="E40" s="14"/>
      <c r="F40" s="124">
        <f>ROUND(F39/F13,0)</f>
        <v>858</v>
      </c>
      <c r="G40" s="88"/>
    </row>
    <row r="41" spans="1:8" ht="15.75" x14ac:dyDescent="0.25">
      <c r="A41" s="24"/>
      <c r="B41" s="24"/>
      <c r="C41" s="24"/>
      <c r="D41" s="24"/>
      <c r="E41" s="24"/>
      <c r="F41" s="89"/>
    </row>
    <row r="42" spans="1:8" ht="15.75" x14ac:dyDescent="0.25">
      <c r="A42" s="24" t="s">
        <v>136</v>
      </c>
      <c r="B42" s="24"/>
      <c r="C42" s="24"/>
      <c r="D42" s="24"/>
      <c r="E42" s="67"/>
      <c r="F42" s="67" t="s">
        <v>137</v>
      </c>
    </row>
    <row r="43" spans="1:8" ht="15.75" x14ac:dyDescent="0.25">
      <c r="A43" s="24"/>
      <c r="B43" s="24"/>
      <c r="C43" s="24"/>
      <c r="D43" s="24"/>
      <c r="E43" s="24"/>
      <c r="F43" s="24"/>
    </row>
  </sheetData>
  <mergeCells count="7">
    <mergeCell ref="A2:C3"/>
    <mergeCell ref="E2:F3"/>
    <mergeCell ref="A38:D38"/>
    <mergeCell ref="A8:F8"/>
    <mergeCell ref="A10:D10"/>
    <mergeCell ref="A14:D14"/>
    <mergeCell ref="A33:D33"/>
  </mergeCells>
  <pageMargins left="0.7" right="0.7" top="0.75" bottom="0.75" header="0.3" footer="0.3"/>
  <pageSetup paperSize="9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workbookViewId="0">
      <selection activeCell="E4" sqref="E4"/>
    </sheetView>
  </sheetViews>
  <sheetFormatPr defaultRowHeight="15" x14ac:dyDescent="0.25"/>
  <cols>
    <col min="1" max="2" width="9.140625" style="29"/>
    <col min="3" max="3" width="12.28515625" style="29" customWidth="1"/>
    <col min="4" max="4" width="37.85546875" style="29" customWidth="1"/>
    <col min="5" max="5" width="11.140625" style="29" customWidth="1"/>
    <col min="6" max="6" width="13.85546875" style="29" customWidth="1"/>
    <col min="7" max="7" width="9.5703125" style="29" bestFit="1" customWidth="1"/>
    <col min="8" max="8" width="9.42578125" style="29" bestFit="1" customWidth="1"/>
    <col min="9" max="16384" width="9.140625" style="29"/>
  </cols>
  <sheetData>
    <row r="1" spans="1:6" ht="15.75" x14ac:dyDescent="0.25">
      <c r="A1" s="1" t="s">
        <v>15</v>
      </c>
      <c r="B1" s="1"/>
      <c r="C1" s="1"/>
      <c r="D1" s="12" t="s">
        <v>84</v>
      </c>
      <c r="E1" s="12"/>
      <c r="F1" s="12"/>
    </row>
    <row r="2" spans="1:6" ht="15" customHeight="1" x14ac:dyDescent="0.25">
      <c r="A2" s="168" t="s">
        <v>141</v>
      </c>
      <c r="B2" s="168"/>
      <c r="C2" s="168"/>
      <c r="D2" s="103" t="s">
        <v>142</v>
      </c>
      <c r="E2" s="168" t="s">
        <v>143</v>
      </c>
      <c r="F2" s="168"/>
    </row>
    <row r="3" spans="1:6" ht="31.5" customHeight="1" x14ac:dyDescent="0.25">
      <c r="A3" s="168"/>
      <c r="B3" s="168"/>
      <c r="C3" s="168"/>
      <c r="D3" s="28"/>
      <c r="E3" s="168"/>
      <c r="F3" s="168"/>
    </row>
    <row r="4" spans="1:6" ht="15.75" x14ac:dyDescent="0.25">
      <c r="A4" s="1" t="s">
        <v>63</v>
      </c>
      <c r="B4" s="1"/>
      <c r="C4" s="1"/>
      <c r="D4" s="12" t="s">
        <v>164</v>
      </c>
      <c r="E4" s="12"/>
      <c r="F4" s="12"/>
    </row>
    <row r="5" spans="1:6" ht="15.75" x14ac:dyDescent="0.25">
      <c r="A5" s="1" t="s">
        <v>133</v>
      </c>
      <c r="B5" s="1"/>
      <c r="C5" s="1"/>
      <c r="D5" s="12" t="s">
        <v>165</v>
      </c>
      <c r="E5" s="12" t="s">
        <v>162</v>
      </c>
      <c r="F5" s="12"/>
    </row>
    <row r="6" spans="1:6" ht="15.75" x14ac:dyDescent="0.25">
      <c r="A6" s="1"/>
      <c r="B6" s="1"/>
      <c r="C6" s="1"/>
      <c r="D6" s="12"/>
      <c r="E6" s="12"/>
      <c r="F6" s="12"/>
    </row>
    <row r="7" spans="1:6" ht="15.75" x14ac:dyDescent="0.25">
      <c r="A7" s="84"/>
      <c r="B7" s="84" t="s">
        <v>85</v>
      </c>
      <c r="C7" s="84"/>
      <c r="D7" s="84"/>
      <c r="E7" s="84"/>
      <c r="F7" s="84"/>
    </row>
    <row r="8" spans="1:6" ht="15.75" x14ac:dyDescent="0.25">
      <c r="A8" s="187" t="s">
        <v>86</v>
      </c>
      <c r="B8" s="187"/>
      <c r="C8" s="187"/>
      <c r="D8" s="187"/>
      <c r="E8" s="187"/>
      <c r="F8" s="187"/>
    </row>
    <row r="9" spans="1:6" ht="15.75" x14ac:dyDescent="0.25">
      <c r="A9" s="141"/>
      <c r="B9" s="141"/>
      <c r="C9" s="141"/>
      <c r="D9" s="141"/>
      <c r="E9" s="141"/>
      <c r="F9" s="141"/>
    </row>
    <row r="10" spans="1:6" ht="31.5" x14ac:dyDescent="0.25">
      <c r="A10" s="172"/>
      <c r="B10" s="173"/>
      <c r="C10" s="173"/>
      <c r="D10" s="174"/>
      <c r="E10" s="44" t="s">
        <v>12</v>
      </c>
      <c r="F10" s="4" t="s">
        <v>13</v>
      </c>
    </row>
    <row r="11" spans="1:6" ht="15.75" x14ac:dyDescent="0.25">
      <c r="A11" s="6" t="s">
        <v>224</v>
      </c>
      <c r="B11" s="6"/>
      <c r="C11" s="6"/>
      <c r="D11" s="6"/>
      <c r="E11" s="85">
        <v>513200</v>
      </c>
      <c r="F11" s="113"/>
    </row>
    <row r="12" spans="1:6" ht="15.75" x14ac:dyDescent="0.25">
      <c r="A12" s="139" t="s">
        <v>37</v>
      </c>
      <c r="B12" s="140"/>
      <c r="C12" s="140"/>
      <c r="D12" s="22"/>
      <c r="E12" s="51">
        <v>0.125</v>
      </c>
      <c r="F12" s="123">
        <v>12.5</v>
      </c>
    </row>
    <row r="13" spans="1:6" ht="15.75" x14ac:dyDescent="0.25">
      <c r="A13" s="6" t="s">
        <v>5</v>
      </c>
      <c r="B13" s="6"/>
      <c r="C13" s="139"/>
      <c r="D13" s="140"/>
      <c r="E13" s="14" t="s">
        <v>30</v>
      </c>
      <c r="F13" s="123">
        <v>1650</v>
      </c>
    </row>
    <row r="14" spans="1:6" ht="15.75" x14ac:dyDescent="0.25">
      <c r="A14" s="180" t="s">
        <v>88</v>
      </c>
      <c r="B14" s="181"/>
      <c r="C14" s="181"/>
      <c r="D14" s="182"/>
      <c r="E14" s="14" t="s">
        <v>89</v>
      </c>
      <c r="F14" s="123">
        <v>35109</v>
      </c>
    </row>
    <row r="15" spans="1:6" ht="15.75" x14ac:dyDescent="0.25">
      <c r="A15" s="6" t="s">
        <v>67</v>
      </c>
      <c r="B15" s="6"/>
      <c r="C15" s="6"/>
      <c r="D15" s="6"/>
      <c r="E15" s="14"/>
      <c r="F15" s="124">
        <f>E11*F12%</f>
        <v>64150</v>
      </c>
    </row>
    <row r="16" spans="1:6" ht="15.75" x14ac:dyDescent="0.25">
      <c r="A16" s="6" t="s">
        <v>90</v>
      </c>
      <c r="B16" s="6"/>
      <c r="C16" s="6"/>
      <c r="D16" s="6"/>
      <c r="E16" s="46">
        <f>SUM(E17:E22)</f>
        <v>135.85368600000001</v>
      </c>
      <c r="F16" s="124">
        <f>E16*F13</f>
        <v>224158.58190000002</v>
      </c>
    </row>
    <row r="17" spans="1:8" ht="15.75" x14ac:dyDescent="0.25">
      <c r="A17" s="6" t="s">
        <v>241</v>
      </c>
      <c r="B17" s="6"/>
      <c r="C17" s="6"/>
      <c r="D17" s="70"/>
      <c r="E17" s="14">
        <f>ROUND(10849*12/1973,2)</f>
        <v>65.98</v>
      </c>
      <c r="F17" s="123"/>
    </row>
    <row r="18" spans="1:8" ht="15.75" x14ac:dyDescent="0.25">
      <c r="A18" s="6" t="s">
        <v>98</v>
      </c>
      <c r="B18" s="6"/>
      <c r="C18" s="6"/>
      <c r="D18" s="6"/>
      <c r="E18" s="46">
        <f>ROUND(E17*20%,2)</f>
        <v>13.2</v>
      </c>
      <c r="F18" s="123"/>
    </row>
    <row r="19" spans="1:8" ht="15.75" x14ac:dyDescent="0.25">
      <c r="A19" s="6" t="s">
        <v>103</v>
      </c>
      <c r="B19" s="6"/>
      <c r="C19" s="6"/>
      <c r="D19" s="6"/>
      <c r="E19" s="46">
        <f>ROUND(E17*15%,2)</f>
        <v>9.9</v>
      </c>
      <c r="F19" s="123"/>
    </row>
    <row r="20" spans="1:8" ht="15.75" x14ac:dyDescent="0.25">
      <c r="A20" s="6" t="s">
        <v>19</v>
      </c>
      <c r="B20" s="6"/>
      <c r="C20" s="6"/>
      <c r="D20" s="6"/>
      <c r="E20" s="46">
        <f>ROUND(E17*30%,)</f>
        <v>20</v>
      </c>
      <c r="F20" s="123"/>
    </row>
    <row r="21" spans="1:8" ht="15.75" x14ac:dyDescent="0.25">
      <c r="A21" s="6" t="s">
        <v>9</v>
      </c>
      <c r="B21" s="6"/>
      <c r="C21" s="6"/>
      <c r="D21" s="6"/>
      <c r="E21" s="46">
        <f>(E17+E18+E19+E20)*15%</f>
        <v>16.362000000000002</v>
      </c>
      <c r="F21" s="123"/>
    </row>
    <row r="22" spans="1:8" ht="15.75" x14ac:dyDescent="0.25">
      <c r="A22" s="6" t="s">
        <v>41</v>
      </c>
      <c r="B22" s="6"/>
      <c r="C22" s="6"/>
      <c r="D22" s="6"/>
      <c r="E22" s="46">
        <f>(E17+E18+E19+E20+E21)*8.3%</f>
        <v>10.411686000000001</v>
      </c>
      <c r="F22" s="123"/>
    </row>
    <row r="23" spans="1:8" ht="15.75" x14ac:dyDescent="0.25">
      <c r="A23" s="6" t="s">
        <v>32</v>
      </c>
      <c r="B23" s="6"/>
      <c r="C23" s="6"/>
      <c r="D23" s="6"/>
      <c r="E23" s="48">
        <v>0.30199999999999999</v>
      </c>
      <c r="F23" s="124">
        <f>F16*E23</f>
        <v>67695.891733800003</v>
      </c>
    </row>
    <row r="24" spans="1:8" ht="15.75" x14ac:dyDescent="0.25">
      <c r="A24" s="6" t="s">
        <v>23</v>
      </c>
      <c r="B24" s="6"/>
      <c r="C24" s="6"/>
      <c r="D24" s="6"/>
      <c r="E24" s="14"/>
      <c r="F24" s="124">
        <f>F28+F30</f>
        <v>254048.72399999999</v>
      </c>
    </row>
    <row r="25" spans="1:8" ht="15.75" x14ac:dyDescent="0.25">
      <c r="A25" s="6" t="s">
        <v>225</v>
      </c>
      <c r="B25" s="6"/>
      <c r="C25" s="6"/>
      <c r="D25" s="6"/>
      <c r="E25" s="46">
        <v>9</v>
      </c>
      <c r="F25" s="123">
        <f>E25*F14/100</f>
        <v>3159.81</v>
      </c>
    </row>
    <row r="26" spans="1:8" ht="15.75" x14ac:dyDescent="0.25">
      <c r="A26" s="6" t="s">
        <v>226</v>
      </c>
      <c r="B26" s="6"/>
      <c r="C26" s="6"/>
      <c r="D26" s="6"/>
      <c r="E26" s="51">
        <v>0.2</v>
      </c>
      <c r="F26" s="123">
        <f>F25*E26</f>
        <v>631.96199999999999</v>
      </c>
    </row>
    <row r="27" spans="1:8" ht="15.75" x14ac:dyDescent="0.25">
      <c r="A27" s="139" t="s">
        <v>0</v>
      </c>
      <c r="B27" s="140"/>
      <c r="C27" s="140"/>
      <c r="D27" s="140"/>
      <c r="E27" s="51"/>
      <c r="F27" s="123">
        <f>F25+F26</f>
        <v>3791.7719999999999</v>
      </c>
    </row>
    <row r="28" spans="1:8" ht="15.75" x14ac:dyDescent="0.25">
      <c r="A28" s="6" t="s">
        <v>93</v>
      </c>
      <c r="B28" s="6"/>
      <c r="C28" s="6"/>
      <c r="D28" s="6"/>
      <c r="E28" s="125">
        <v>55</v>
      </c>
      <c r="F28" s="123">
        <f>E28*F27</f>
        <v>208547.46</v>
      </c>
    </row>
    <row r="29" spans="1:8" ht="15.75" x14ac:dyDescent="0.25">
      <c r="A29" s="6" t="s">
        <v>91</v>
      </c>
      <c r="B29" s="6"/>
      <c r="C29" s="6"/>
      <c r="D29" s="6"/>
      <c r="E29" s="48">
        <v>2.4E-2</v>
      </c>
      <c r="F29" s="123">
        <f>E29*F27</f>
        <v>91.002527999999998</v>
      </c>
    </row>
    <row r="30" spans="1:8" ht="15.75" x14ac:dyDescent="0.25">
      <c r="A30" s="6" t="s">
        <v>243</v>
      </c>
      <c r="B30" s="6"/>
      <c r="C30" s="6"/>
      <c r="D30" s="6"/>
      <c r="E30" s="14">
        <v>500</v>
      </c>
      <c r="F30" s="123">
        <f>E30*F29</f>
        <v>45501.263999999996</v>
      </c>
    </row>
    <row r="31" spans="1:8" ht="15.75" x14ac:dyDescent="0.25">
      <c r="A31" s="6" t="s">
        <v>92</v>
      </c>
      <c r="B31" s="6"/>
      <c r="C31" s="6"/>
      <c r="D31" s="6"/>
      <c r="E31" s="51">
        <v>0.5</v>
      </c>
      <c r="F31" s="124">
        <f>F15*50/100</f>
        <v>32075</v>
      </c>
      <c r="H31" s="87"/>
    </row>
    <row r="32" spans="1:8" ht="15.75" x14ac:dyDescent="0.25">
      <c r="A32" s="6" t="s">
        <v>2</v>
      </c>
      <c r="B32" s="6"/>
      <c r="C32" s="6"/>
      <c r="D32" s="6"/>
      <c r="E32" s="14"/>
      <c r="F32" s="124">
        <v>2929</v>
      </c>
    </row>
    <row r="33" spans="1:8" ht="15.75" x14ac:dyDescent="0.25">
      <c r="A33" s="180" t="s">
        <v>104</v>
      </c>
      <c r="B33" s="181"/>
      <c r="C33" s="181"/>
      <c r="D33" s="182"/>
      <c r="E33" s="51">
        <v>0.1</v>
      </c>
      <c r="F33" s="124">
        <f>ROUND((F15+F16+F23+F24+F31+F32)*E33,2)</f>
        <v>64505.72</v>
      </c>
    </row>
    <row r="34" spans="1:8" ht="15.75" x14ac:dyDescent="0.25">
      <c r="A34" s="6" t="s">
        <v>20</v>
      </c>
      <c r="B34" s="6"/>
      <c r="C34" s="6"/>
      <c r="D34" s="6"/>
      <c r="E34" s="14"/>
      <c r="F34" s="124">
        <f>F33+F32+F31+F24+F23+F16+F15</f>
        <v>709562.91763380007</v>
      </c>
    </row>
    <row r="35" spans="1:8" ht="15.75" x14ac:dyDescent="0.25">
      <c r="A35" s="6" t="s">
        <v>26</v>
      </c>
      <c r="B35" s="6"/>
      <c r="C35" s="6"/>
      <c r="D35" s="6"/>
      <c r="E35" s="51">
        <v>0.2</v>
      </c>
      <c r="F35" s="124">
        <f>F34*E35</f>
        <v>141912.58352676002</v>
      </c>
    </row>
    <row r="36" spans="1:8" ht="15.75" x14ac:dyDescent="0.25">
      <c r="A36" s="6" t="s">
        <v>1</v>
      </c>
      <c r="B36" s="6"/>
      <c r="C36" s="6"/>
      <c r="D36" s="6"/>
      <c r="E36" s="14"/>
      <c r="F36" s="124">
        <f>F34+F35</f>
        <v>851475.50116056006</v>
      </c>
    </row>
    <row r="37" spans="1:8" ht="15.75" x14ac:dyDescent="0.25">
      <c r="A37" s="6" t="s">
        <v>27</v>
      </c>
      <c r="B37" s="6"/>
      <c r="C37" s="138"/>
      <c r="D37" s="6"/>
      <c r="E37" s="51">
        <v>0.35</v>
      </c>
      <c r="F37" s="124">
        <f>F36*E37</f>
        <v>298016.42540619598</v>
      </c>
    </row>
    <row r="38" spans="1:8" ht="15.75" x14ac:dyDescent="0.25">
      <c r="A38" s="180" t="s">
        <v>38</v>
      </c>
      <c r="B38" s="181"/>
      <c r="C38" s="181"/>
      <c r="D38" s="182"/>
      <c r="E38" s="51">
        <v>0.01</v>
      </c>
      <c r="F38" s="124">
        <f>(F36+F37)*E38</f>
        <v>11494.91926566756</v>
      </c>
    </row>
    <row r="39" spans="1:8" ht="15.75" x14ac:dyDescent="0.25">
      <c r="A39" s="6" t="s">
        <v>24</v>
      </c>
      <c r="B39" s="6"/>
      <c r="C39" s="6"/>
      <c r="D39" s="6"/>
      <c r="E39" s="14"/>
      <c r="F39" s="124">
        <f>F36+F37+F38</f>
        <v>1160986.8458324238</v>
      </c>
      <c r="H39" s="87"/>
    </row>
    <row r="40" spans="1:8" ht="15.75" x14ac:dyDescent="0.25">
      <c r="A40" s="4" t="s">
        <v>25</v>
      </c>
      <c r="B40" s="6"/>
      <c r="C40" s="6"/>
      <c r="D40" s="6"/>
      <c r="E40" s="14"/>
      <c r="F40" s="124">
        <f>ROUND(F39/F13,0)</f>
        <v>704</v>
      </c>
      <c r="G40" s="88"/>
    </row>
    <row r="41" spans="1:8" ht="15.75" x14ac:dyDescent="0.25">
      <c r="A41" s="24"/>
      <c r="B41" s="24"/>
      <c r="C41" s="24"/>
      <c r="D41" s="24"/>
      <c r="E41" s="24"/>
      <c r="F41" s="89"/>
    </row>
    <row r="42" spans="1:8" ht="15.75" x14ac:dyDescent="0.25">
      <c r="A42" s="24" t="s">
        <v>136</v>
      </c>
      <c r="B42" s="24"/>
      <c r="C42" s="24"/>
      <c r="D42" s="24"/>
      <c r="E42" s="67"/>
      <c r="F42" s="67" t="s">
        <v>137</v>
      </c>
    </row>
    <row r="43" spans="1:8" ht="15.75" x14ac:dyDescent="0.25">
      <c r="A43" s="24"/>
      <c r="B43" s="24"/>
      <c r="C43" s="24"/>
      <c r="D43" s="24"/>
      <c r="E43" s="24"/>
      <c r="F43" s="24"/>
    </row>
  </sheetData>
  <mergeCells count="7">
    <mergeCell ref="A38:D38"/>
    <mergeCell ref="A2:C3"/>
    <mergeCell ref="E2:F3"/>
    <mergeCell ref="A8:F8"/>
    <mergeCell ref="A10:D10"/>
    <mergeCell ref="A14:D14"/>
    <mergeCell ref="A33:D33"/>
  </mergeCells>
  <pageMargins left="0.7" right="0.7" top="0.75" bottom="0.75" header="0.3" footer="0.3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zoomScaleNormal="100" workbookViewId="0">
      <selection activeCell="E4" sqref="E4"/>
    </sheetView>
  </sheetViews>
  <sheetFormatPr defaultRowHeight="15" x14ac:dyDescent="0.25"/>
  <cols>
    <col min="1" max="1" width="5.7109375" customWidth="1"/>
    <col min="4" max="4" width="43.7109375" customWidth="1"/>
    <col min="5" max="5" width="14.28515625" customWidth="1"/>
    <col min="6" max="6" width="15.5703125" customWidth="1"/>
    <col min="8" max="8" width="10.42578125" bestFit="1" customWidth="1"/>
    <col min="9" max="9" width="9.42578125" bestFit="1" customWidth="1"/>
    <col min="11" max="11" width="10.5703125" bestFit="1" customWidth="1"/>
  </cols>
  <sheetData>
    <row r="1" spans="1:9" s="29" customFormat="1" x14ac:dyDescent="0.25">
      <c r="A1" s="29" t="s">
        <v>15</v>
      </c>
      <c r="E1" s="30" t="s">
        <v>123</v>
      </c>
      <c r="F1" s="100"/>
      <c r="G1" s="30"/>
    </row>
    <row r="2" spans="1:9" s="29" customFormat="1" ht="47.25" customHeight="1" x14ac:dyDescent="0.25">
      <c r="A2" s="168" t="s">
        <v>141</v>
      </c>
      <c r="B2" s="168"/>
      <c r="C2" s="168"/>
      <c r="D2" s="28"/>
      <c r="E2" s="191" t="s">
        <v>143</v>
      </c>
      <c r="F2" s="191"/>
      <c r="H2" s="100"/>
      <c r="I2" s="100"/>
    </row>
    <row r="3" spans="1:9" s="29" customFormat="1" ht="30.75" customHeight="1" x14ac:dyDescent="0.25">
      <c r="A3" s="168"/>
      <c r="B3" s="168"/>
      <c r="C3" s="168"/>
      <c r="D3" s="28"/>
      <c r="E3" s="191"/>
      <c r="F3" s="191"/>
    </row>
    <row r="4" spans="1:9" s="29" customFormat="1" ht="15.75" customHeight="1" x14ac:dyDescent="0.25">
      <c r="A4" s="1" t="s">
        <v>274</v>
      </c>
      <c r="E4" s="30"/>
      <c r="F4" s="30"/>
      <c r="G4" s="30"/>
    </row>
    <row r="5" spans="1:9" s="29" customFormat="1" x14ac:dyDescent="0.25">
      <c r="A5" s="29" t="s">
        <v>133</v>
      </c>
      <c r="E5" s="30" t="s">
        <v>140</v>
      </c>
      <c r="F5" s="30"/>
      <c r="G5" s="30"/>
    </row>
    <row r="6" spans="1:9" s="29" customFormat="1" ht="15.75" x14ac:dyDescent="0.25">
      <c r="A6" s="1"/>
      <c r="B6" s="1"/>
      <c r="C6" s="1"/>
      <c r="D6" s="12"/>
      <c r="E6" s="12"/>
      <c r="F6" s="12"/>
    </row>
    <row r="7" spans="1:9" s="29" customFormat="1" ht="15.75" x14ac:dyDescent="0.25">
      <c r="A7" s="84"/>
      <c r="B7" s="84" t="s">
        <v>97</v>
      </c>
      <c r="C7" s="84"/>
      <c r="D7" s="84"/>
      <c r="E7" s="84"/>
      <c r="F7" s="84"/>
    </row>
    <row r="8" spans="1:9" s="29" customFormat="1" ht="15.75" x14ac:dyDescent="0.25">
      <c r="A8" s="187" t="s">
        <v>86</v>
      </c>
      <c r="B8" s="187"/>
      <c r="C8" s="187"/>
      <c r="D8" s="187"/>
      <c r="E8" s="187"/>
      <c r="F8" s="187"/>
    </row>
    <row r="9" spans="1:9" s="29" customFormat="1" ht="15.75" x14ac:dyDescent="0.25">
      <c r="A9" s="132"/>
      <c r="B9" s="132"/>
      <c r="C9" s="132"/>
      <c r="D9" s="132"/>
      <c r="E9" s="132"/>
      <c r="F9" s="132"/>
    </row>
    <row r="10" spans="1:9" s="29" customFormat="1" ht="31.5" x14ac:dyDescent="0.25">
      <c r="A10" s="172"/>
      <c r="B10" s="173"/>
      <c r="C10" s="173"/>
      <c r="D10" s="174"/>
      <c r="E10" s="44" t="s">
        <v>12</v>
      </c>
      <c r="F10" s="4" t="s">
        <v>13</v>
      </c>
    </row>
    <row r="11" spans="1:9" s="29" customFormat="1" ht="15.75" x14ac:dyDescent="0.25">
      <c r="A11" s="6" t="s">
        <v>96</v>
      </c>
      <c r="B11" s="6"/>
      <c r="C11" s="6"/>
      <c r="D11" s="6"/>
      <c r="E11" s="85">
        <v>973000</v>
      </c>
      <c r="F11" s="113"/>
    </row>
    <row r="12" spans="1:9" s="29" customFormat="1" ht="15.75" x14ac:dyDescent="0.25">
      <c r="A12" s="130" t="s">
        <v>37</v>
      </c>
      <c r="B12" s="131"/>
      <c r="C12" s="131"/>
      <c r="D12" s="22"/>
      <c r="E12" s="71">
        <v>0.1</v>
      </c>
      <c r="F12" s="123">
        <v>10</v>
      </c>
    </row>
    <row r="13" spans="1:9" s="29" customFormat="1" ht="15.75" x14ac:dyDescent="0.25">
      <c r="A13" s="6" t="s">
        <v>5</v>
      </c>
      <c r="B13" s="6"/>
      <c r="C13" s="130"/>
      <c r="D13" s="131"/>
      <c r="E13" s="14" t="s">
        <v>30</v>
      </c>
      <c r="F13" s="123">
        <v>1650</v>
      </c>
    </row>
    <row r="14" spans="1:9" s="29" customFormat="1" ht="15.75" x14ac:dyDescent="0.25">
      <c r="A14" s="180" t="s">
        <v>88</v>
      </c>
      <c r="B14" s="181"/>
      <c r="C14" s="181"/>
      <c r="D14" s="182"/>
      <c r="E14" s="14" t="s">
        <v>89</v>
      </c>
      <c r="F14" s="123">
        <v>30000</v>
      </c>
    </row>
    <row r="15" spans="1:9" s="29" customFormat="1" ht="15.75" x14ac:dyDescent="0.25">
      <c r="A15" s="126" t="s">
        <v>112</v>
      </c>
      <c r="B15" s="127"/>
      <c r="C15" s="127"/>
      <c r="D15" s="128"/>
      <c r="E15" s="14" t="s">
        <v>113</v>
      </c>
      <c r="F15" s="123">
        <v>990</v>
      </c>
    </row>
    <row r="16" spans="1:9" s="29" customFormat="1" ht="15.75" x14ac:dyDescent="0.25">
      <c r="A16" s="126" t="s">
        <v>115</v>
      </c>
      <c r="B16" s="127"/>
      <c r="C16" s="127"/>
      <c r="D16" s="128"/>
      <c r="E16" s="14" t="s">
        <v>114</v>
      </c>
      <c r="F16" s="123">
        <v>65000</v>
      </c>
    </row>
    <row r="17" spans="1:6" s="29" customFormat="1" ht="15.75" x14ac:dyDescent="0.25">
      <c r="A17" s="6" t="s">
        <v>67</v>
      </c>
      <c r="B17" s="6"/>
      <c r="C17" s="6"/>
      <c r="D17" s="6"/>
      <c r="E17" s="6"/>
      <c r="F17" s="124">
        <f>E11*F12%</f>
        <v>97300</v>
      </c>
    </row>
    <row r="18" spans="1:6" s="29" customFormat="1" ht="15.75" x14ac:dyDescent="0.25">
      <c r="A18" s="6" t="s">
        <v>90</v>
      </c>
      <c r="B18" s="6"/>
      <c r="C18" s="6"/>
      <c r="D18" s="6"/>
      <c r="E18" s="72">
        <f>SUM(E19:E24)</f>
        <v>166.55402850000004</v>
      </c>
      <c r="F18" s="124">
        <f>E18*F13</f>
        <v>274814.14702500007</v>
      </c>
    </row>
    <row r="19" spans="1:6" s="29" customFormat="1" ht="15.75" x14ac:dyDescent="0.25">
      <c r="A19" s="6" t="s">
        <v>242</v>
      </c>
      <c r="B19" s="6"/>
      <c r="C19" s="6"/>
      <c r="D19" s="6"/>
      <c r="E19" s="14">
        <f>ROUND(13367*12/1973.4,2)</f>
        <v>81.28</v>
      </c>
      <c r="F19" s="123"/>
    </row>
    <row r="20" spans="1:6" s="29" customFormat="1" ht="15.75" x14ac:dyDescent="0.25">
      <c r="A20" s="6" t="s">
        <v>98</v>
      </c>
      <c r="B20" s="6"/>
      <c r="C20" s="6"/>
      <c r="D20" s="6"/>
      <c r="E20" s="46">
        <f>ROUND(E19*20%,2)</f>
        <v>16.260000000000002</v>
      </c>
      <c r="F20" s="123"/>
    </row>
    <row r="21" spans="1:6" s="29" customFormat="1" ht="15.75" x14ac:dyDescent="0.25">
      <c r="A21" s="6" t="s">
        <v>40</v>
      </c>
      <c r="B21" s="6"/>
      <c r="C21" s="6"/>
      <c r="D21" s="6"/>
      <c r="E21" s="46">
        <f>ROUND(E19*15%,2)</f>
        <v>12.19</v>
      </c>
      <c r="F21" s="123"/>
    </row>
    <row r="22" spans="1:6" s="29" customFormat="1" ht="15.75" x14ac:dyDescent="0.25">
      <c r="A22" s="6" t="s">
        <v>19</v>
      </c>
      <c r="B22" s="6"/>
      <c r="C22" s="6"/>
      <c r="D22" s="6"/>
      <c r="E22" s="46">
        <f>ROUND(E19*30%,)</f>
        <v>24</v>
      </c>
      <c r="F22" s="123"/>
    </row>
    <row r="23" spans="1:6" s="29" customFormat="1" ht="15.75" x14ac:dyDescent="0.25">
      <c r="A23" s="6" t="s">
        <v>9</v>
      </c>
      <c r="B23" s="6"/>
      <c r="C23" s="6"/>
      <c r="D23" s="6"/>
      <c r="E23" s="46">
        <f>(E19+E20+E21+E22)*15%</f>
        <v>20.059500000000003</v>
      </c>
      <c r="F23" s="123"/>
    </row>
    <row r="24" spans="1:6" s="29" customFormat="1" ht="15.75" x14ac:dyDescent="0.25">
      <c r="A24" s="6" t="s">
        <v>41</v>
      </c>
      <c r="B24" s="6"/>
      <c r="C24" s="6"/>
      <c r="D24" s="6"/>
      <c r="E24" s="46">
        <f>(E19+E20+E21+E22+E23)*8.3%</f>
        <v>12.764528500000003</v>
      </c>
      <c r="F24" s="123"/>
    </row>
    <row r="25" spans="1:6" s="29" customFormat="1" ht="15.75" x14ac:dyDescent="0.25">
      <c r="A25" s="6" t="s">
        <v>32</v>
      </c>
      <c r="B25" s="6"/>
      <c r="C25" s="6"/>
      <c r="D25" s="6"/>
      <c r="E25" s="73">
        <v>0.30199999999999999</v>
      </c>
      <c r="F25" s="124">
        <f>F18*E25</f>
        <v>82993.872401550019</v>
      </c>
    </row>
    <row r="26" spans="1:6" s="29" customFormat="1" ht="15.75" x14ac:dyDescent="0.25">
      <c r="A26" s="6" t="s">
        <v>23</v>
      </c>
      <c r="B26" s="6"/>
      <c r="C26" s="6"/>
      <c r="D26" s="6"/>
      <c r="E26" s="6"/>
      <c r="F26" s="124">
        <f>F30+F32</f>
        <v>812475</v>
      </c>
    </row>
    <row r="27" spans="1:6" s="29" customFormat="1" ht="30" customHeight="1" x14ac:dyDescent="0.25">
      <c r="A27" s="188" t="s">
        <v>110</v>
      </c>
      <c r="B27" s="189"/>
      <c r="C27" s="189"/>
      <c r="D27" s="190"/>
      <c r="E27" s="72">
        <v>30</v>
      </c>
      <c r="F27" s="123">
        <f>E27*F14/100</f>
        <v>9000</v>
      </c>
    </row>
    <row r="28" spans="1:6" s="29" customFormat="1" ht="32.25" customHeight="1" x14ac:dyDescent="0.25">
      <c r="A28" s="188" t="s">
        <v>14</v>
      </c>
      <c r="B28" s="189"/>
      <c r="C28" s="189"/>
      <c r="D28" s="190"/>
      <c r="E28" s="71">
        <v>0.15</v>
      </c>
      <c r="F28" s="123">
        <f>F27*E28</f>
        <v>1350</v>
      </c>
    </row>
    <row r="29" spans="1:6" s="29" customFormat="1" ht="16.5" customHeight="1" x14ac:dyDescent="0.25">
      <c r="A29" s="188" t="s">
        <v>99</v>
      </c>
      <c r="B29" s="189"/>
      <c r="C29" s="189"/>
      <c r="D29" s="190"/>
      <c r="E29" s="71"/>
      <c r="F29" s="123">
        <f>F27+F28</f>
        <v>10350</v>
      </c>
    </row>
    <row r="30" spans="1:6" s="29" customFormat="1" ht="15.75" customHeight="1" x14ac:dyDescent="0.25">
      <c r="A30" s="188" t="s">
        <v>100</v>
      </c>
      <c r="B30" s="189"/>
      <c r="C30" s="189"/>
      <c r="D30" s="190"/>
      <c r="E30" s="86">
        <v>60</v>
      </c>
      <c r="F30" s="123">
        <f>E30*F29</f>
        <v>621000</v>
      </c>
    </row>
    <row r="31" spans="1:6" s="29" customFormat="1" ht="29.25" customHeight="1" x14ac:dyDescent="0.25">
      <c r="A31" s="188" t="s">
        <v>111</v>
      </c>
      <c r="B31" s="189"/>
      <c r="C31" s="189"/>
      <c r="D31" s="190"/>
      <c r="E31" s="73">
        <v>3.6999999999999998E-2</v>
      </c>
      <c r="F31" s="123">
        <f>E31*F29</f>
        <v>382.95</v>
      </c>
    </row>
    <row r="32" spans="1:6" s="29" customFormat="1" ht="30" customHeight="1" x14ac:dyDescent="0.25">
      <c r="A32" s="188" t="s">
        <v>243</v>
      </c>
      <c r="B32" s="189"/>
      <c r="C32" s="189"/>
      <c r="D32" s="190"/>
      <c r="E32" s="6">
        <v>500</v>
      </c>
      <c r="F32" s="123">
        <f>E32*F31</f>
        <v>191475</v>
      </c>
    </row>
    <row r="33" spans="1:13" s="29" customFormat="1" ht="15.75" x14ac:dyDescent="0.25">
      <c r="A33" s="6" t="s">
        <v>223</v>
      </c>
      <c r="B33" s="6"/>
      <c r="C33" s="6"/>
      <c r="D33" s="6"/>
      <c r="E33" s="71">
        <v>0.4</v>
      </c>
      <c r="F33" s="124">
        <f>E11*E33</f>
        <v>389200</v>
      </c>
    </row>
    <row r="34" spans="1:13" s="29" customFormat="1" ht="15.75" x14ac:dyDescent="0.25">
      <c r="A34" s="6" t="s">
        <v>2</v>
      </c>
      <c r="B34" s="6"/>
      <c r="C34" s="6"/>
      <c r="D34" s="6"/>
      <c r="E34" s="6"/>
      <c r="F34" s="124">
        <v>13650</v>
      </c>
    </row>
    <row r="35" spans="1:13" s="29" customFormat="1" ht="15.75" x14ac:dyDescent="0.25">
      <c r="A35" s="180" t="s">
        <v>106</v>
      </c>
      <c r="B35" s="181"/>
      <c r="C35" s="181"/>
      <c r="D35" s="182"/>
      <c r="E35" s="71">
        <v>0.2</v>
      </c>
      <c r="F35" s="124">
        <f>ROUND((F17+F18+F25+F26+F33)*E35,2)</f>
        <v>331356.59999999998</v>
      </c>
      <c r="H35" s="87"/>
    </row>
    <row r="36" spans="1:13" s="29" customFormat="1" ht="15.75" x14ac:dyDescent="0.25">
      <c r="A36" s="6" t="s">
        <v>20</v>
      </c>
      <c r="B36" s="6"/>
      <c r="C36" s="6"/>
      <c r="D36" s="6"/>
      <c r="E36" s="6"/>
      <c r="F36" s="124">
        <f>F35+F34+F33+F26+F25+F18+F17</f>
        <v>2001789.6194265501</v>
      </c>
    </row>
    <row r="37" spans="1:13" s="29" customFormat="1" ht="15.75" x14ac:dyDescent="0.25">
      <c r="A37" s="6" t="s">
        <v>26</v>
      </c>
      <c r="B37" s="6"/>
      <c r="C37" s="6"/>
      <c r="D37" s="6"/>
      <c r="E37" s="71">
        <v>0.20100000000000001</v>
      </c>
      <c r="F37" s="124">
        <f>F36*E37</f>
        <v>402359.7135047366</v>
      </c>
      <c r="H37" s="93"/>
      <c r="K37" s="87"/>
    </row>
    <row r="38" spans="1:13" s="29" customFormat="1" ht="15.75" x14ac:dyDescent="0.25">
      <c r="A38" s="6" t="s">
        <v>1</v>
      </c>
      <c r="B38" s="6"/>
      <c r="C38" s="6"/>
      <c r="D38" s="6"/>
      <c r="E38" s="6"/>
      <c r="F38" s="124">
        <f>F36+F37</f>
        <v>2404149.3329312867</v>
      </c>
    </row>
    <row r="39" spans="1:13" s="29" customFormat="1" ht="15.75" x14ac:dyDescent="0.25">
      <c r="A39" s="6" t="s">
        <v>27</v>
      </c>
      <c r="B39" s="6"/>
      <c r="C39" s="129"/>
      <c r="D39" s="6"/>
      <c r="E39" s="71">
        <v>0.15</v>
      </c>
      <c r="F39" s="124">
        <f>F38*E39</f>
        <v>360622.39993969299</v>
      </c>
      <c r="H39" s="93"/>
      <c r="K39" s="87"/>
    </row>
    <row r="40" spans="1:13" s="29" customFormat="1" ht="15.75" x14ac:dyDescent="0.25">
      <c r="A40" s="180" t="s">
        <v>38</v>
      </c>
      <c r="B40" s="181"/>
      <c r="C40" s="181"/>
      <c r="D40" s="182"/>
      <c r="E40" s="71">
        <v>0.01</v>
      </c>
      <c r="F40" s="124">
        <f>(F38+F39)*E40</f>
        <v>27647.717328709798</v>
      </c>
      <c r="K40" s="87"/>
    </row>
    <row r="41" spans="1:13" s="29" customFormat="1" ht="15.75" x14ac:dyDescent="0.25">
      <c r="A41" s="6" t="s">
        <v>24</v>
      </c>
      <c r="B41" s="6"/>
      <c r="C41" s="6"/>
      <c r="D41" s="6"/>
      <c r="E41" s="6"/>
      <c r="F41" s="124">
        <f>F38+F39+F40</f>
        <v>2792419.4501996897</v>
      </c>
      <c r="H41" s="87">
        <f>F41/F14</f>
        <v>93.080648339989651</v>
      </c>
    </row>
    <row r="42" spans="1:13" s="29" customFormat="1" ht="15.75" x14ac:dyDescent="0.25">
      <c r="A42" s="98" t="s">
        <v>25</v>
      </c>
      <c r="B42" s="97"/>
      <c r="C42" s="97"/>
      <c r="D42" s="97"/>
      <c r="E42" s="6"/>
      <c r="F42" s="124">
        <f>ROUND(F41/F13,0)</f>
        <v>1692</v>
      </c>
      <c r="G42" s="88"/>
    </row>
    <row r="43" spans="1:13" s="29" customFormat="1" ht="15.75" x14ac:dyDescent="0.25">
      <c r="A43" s="95" t="s">
        <v>116</v>
      </c>
      <c r="B43" s="99"/>
      <c r="C43" s="99"/>
      <c r="D43" s="96"/>
      <c r="E43" s="6"/>
      <c r="F43" s="124">
        <f>F41/F16</f>
        <v>42.960299233841383</v>
      </c>
      <c r="G43" s="88"/>
    </row>
    <row r="44" spans="1:13" s="29" customFormat="1" ht="15.75" x14ac:dyDescent="0.25">
      <c r="A44" s="24"/>
      <c r="B44" s="24"/>
      <c r="C44" s="24"/>
      <c r="D44" s="24"/>
      <c r="E44" s="24"/>
      <c r="F44" s="89"/>
    </row>
    <row r="45" spans="1:13" s="29" customFormat="1" ht="15.75" x14ac:dyDescent="0.25">
      <c r="A45" s="24"/>
      <c r="B45" s="24"/>
      <c r="C45" s="24"/>
      <c r="D45" s="24"/>
      <c r="E45" s="24"/>
      <c r="F45" s="89"/>
      <c r="I45" s="87"/>
    </row>
    <row r="46" spans="1:13" s="29" customFormat="1" ht="15.75" x14ac:dyDescent="0.25">
      <c r="A46" s="24" t="s">
        <v>136</v>
      </c>
      <c r="B46" s="24"/>
      <c r="C46" s="24"/>
      <c r="D46" s="24"/>
      <c r="E46" s="67"/>
      <c r="F46" s="67" t="s">
        <v>137</v>
      </c>
    </row>
    <row r="47" spans="1:13" s="29" customFormat="1" ht="15.75" x14ac:dyDescent="0.25">
      <c r="A47" s="24"/>
      <c r="B47" s="24"/>
      <c r="C47" s="24"/>
      <c r="D47" s="24"/>
      <c r="E47" s="24"/>
      <c r="F47" s="24"/>
      <c r="M47" s="87"/>
    </row>
    <row r="48" spans="1:13" s="29" customFormat="1" ht="15.75" x14ac:dyDescent="0.25">
      <c r="A48" s="24"/>
      <c r="B48" s="24"/>
      <c r="C48" s="24"/>
      <c r="D48" s="24"/>
      <c r="E48" s="24"/>
      <c r="F48" s="24"/>
    </row>
    <row r="49" spans="2:11" s="29" customFormat="1" x14ac:dyDescent="0.25"/>
    <row r="51" spans="2:11" x14ac:dyDescent="0.25">
      <c r="B51" t="s">
        <v>124</v>
      </c>
    </row>
    <row r="52" spans="2:11" x14ac:dyDescent="0.25">
      <c r="K52" s="94"/>
    </row>
    <row r="53" spans="2:11" ht="15.75" x14ac:dyDescent="0.25">
      <c r="B53" s="92" t="s">
        <v>125</v>
      </c>
    </row>
    <row r="54" spans="2:11" x14ac:dyDescent="0.25">
      <c r="B54" t="s">
        <v>126</v>
      </c>
      <c r="D54" t="s">
        <v>127</v>
      </c>
      <c r="K54" s="94"/>
    </row>
    <row r="55" spans="2:11" x14ac:dyDescent="0.25">
      <c r="B55" t="s">
        <v>128</v>
      </c>
      <c r="K55" s="94"/>
    </row>
    <row r="56" spans="2:11" x14ac:dyDescent="0.25">
      <c r="B56">
        <v>140</v>
      </c>
      <c r="C56" t="s">
        <v>130</v>
      </c>
    </row>
    <row r="57" spans="2:11" x14ac:dyDescent="0.25">
      <c r="B57" t="s">
        <v>129</v>
      </c>
      <c r="D57" t="s">
        <v>131</v>
      </c>
    </row>
    <row r="58" spans="2:11" x14ac:dyDescent="0.25">
      <c r="B58" t="s">
        <v>132</v>
      </c>
    </row>
  </sheetData>
  <mergeCells count="13">
    <mergeCell ref="A27:D27"/>
    <mergeCell ref="A2:C3"/>
    <mergeCell ref="E2:F3"/>
    <mergeCell ref="A8:F8"/>
    <mergeCell ref="A10:D10"/>
    <mergeCell ref="A14:D14"/>
    <mergeCell ref="A40:D40"/>
    <mergeCell ref="A28:D28"/>
    <mergeCell ref="A29:D29"/>
    <mergeCell ref="A30:D30"/>
    <mergeCell ref="A31:D31"/>
    <mergeCell ref="A32:D32"/>
    <mergeCell ref="A35:D35"/>
  </mergeCells>
  <pageMargins left="0.7" right="0.7" top="0.75" bottom="0.75" header="0.3" footer="0.3"/>
  <pageSetup paperSize="9" scale="8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zoomScale="110" zoomScaleNormal="110" workbookViewId="0">
      <selection activeCell="E4" sqref="E4"/>
    </sheetView>
  </sheetViews>
  <sheetFormatPr defaultRowHeight="15" x14ac:dyDescent="0.25"/>
  <cols>
    <col min="1" max="3" width="9.140625" style="29"/>
    <col min="4" max="4" width="34.5703125" style="29" customWidth="1"/>
    <col min="5" max="5" width="14.28515625" style="29" customWidth="1"/>
    <col min="6" max="6" width="13.140625" style="29" customWidth="1"/>
    <col min="7" max="7" width="9.85546875" style="29" customWidth="1"/>
    <col min="8" max="9" width="9.140625" style="29" customWidth="1"/>
    <col min="10" max="16384" width="9.140625" style="29"/>
  </cols>
  <sheetData>
    <row r="1" spans="1:7" ht="15.75" x14ac:dyDescent="0.25">
      <c r="A1" s="26" t="s">
        <v>15</v>
      </c>
      <c r="B1" s="26"/>
      <c r="C1" s="26"/>
      <c r="D1" s="27" t="s">
        <v>146</v>
      </c>
      <c r="E1" s="27" t="s">
        <v>147</v>
      </c>
      <c r="F1" s="27"/>
      <c r="G1" s="1"/>
    </row>
    <row r="2" spans="1:7" ht="39" customHeight="1" x14ac:dyDescent="0.25">
      <c r="A2" s="168" t="s">
        <v>150</v>
      </c>
      <c r="B2" s="168"/>
      <c r="C2" s="168"/>
      <c r="D2" s="103" t="s">
        <v>142</v>
      </c>
      <c r="E2" s="191" t="s">
        <v>143</v>
      </c>
      <c r="F2" s="191"/>
      <c r="G2" s="1"/>
    </row>
    <row r="3" spans="1:7" ht="25.5" customHeight="1" x14ac:dyDescent="0.25">
      <c r="A3" s="168"/>
      <c r="B3" s="168"/>
      <c r="C3" s="168"/>
      <c r="D3" s="28"/>
      <c r="E3" s="191"/>
      <c r="F3" s="191"/>
      <c r="G3" s="1"/>
    </row>
    <row r="4" spans="1:7" ht="23.25" customHeight="1" x14ac:dyDescent="0.25">
      <c r="A4" s="1" t="s">
        <v>274</v>
      </c>
      <c r="B4" s="27"/>
      <c r="C4" s="27"/>
      <c r="D4" s="27"/>
      <c r="E4" s="27"/>
      <c r="F4" s="27"/>
      <c r="G4" s="1"/>
    </row>
    <row r="5" spans="1:7" ht="21.75" customHeight="1" x14ac:dyDescent="0.25">
      <c r="A5" s="26" t="s">
        <v>148</v>
      </c>
      <c r="B5" s="26"/>
      <c r="C5" s="26"/>
      <c r="D5" s="27"/>
      <c r="E5" s="109" t="s">
        <v>178</v>
      </c>
      <c r="F5" s="27"/>
      <c r="G5" s="1"/>
    </row>
    <row r="6" spans="1:7" ht="15.75" x14ac:dyDescent="0.25">
      <c r="A6" s="26"/>
      <c r="B6" s="26"/>
      <c r="C6" s="26"/>
      <c r="D6" s="27"/>
      <c r="E6" s="27"/>
      <c r="F6" s="27"/>
      <c r="G6" s="1"/>
    </row>
    <row r="7" spans="1:7" ht="24" customHeight="1" x14ac:dyDescent="0.3">
      <c r="A7" s="166"/>
      <c r="B7" s="166"/>
      <c r="C7" s="166"/>
      <c r="D7" s="166"/>
      <c r="E7" s="166"/>
      <c r="F7" s="166"/>
      <c r="G7" s="166"/>
    </row>
    <row r="8" spans="1:7" ht="24" customHeight="1" x14ac:dyDescent="0.3">
      <c r="A8" s="166"/>
      <c r="B8" s="166"/>
      <c r="C8" s="166"/>
      <c r="D8" s="166"/>
      <c r="E8" s="166"/>
      <c r="F8" s="166"/>
      <c r="G8" s="166"/>
    </row>
    <row r="9" spans="1:7" ht="18.75" x14ac:dyDescent="0.3">
      <c r="A9" s="167" t="s">
        <v>117</v>
      </c>
      <c r="B9" s="167"/>
      <c r="C9" s="167"/>
      <c r="D9" s="167"/>
      <c r="E9" s="167"/>
      <c r="F9" s="167"/>
      <c r="G9" s="39"/>
    </row>
    <row r="10" spans="1:7" ht="19.5" customHeight="1" x14ac:dyDescent="0.3">
      <c r="A10" s="208" t="s">
        <v>149</v>
      </c>
      <c r="B10" s="208"/>
      <c r="C10" s="208"/>
      <c r="D10" s="208"/>
      <c r="E10" s="208"/>
      <c r="F10" s="208"/>
      <c r="G10" s="39"/>
    </row>
    <row r="11" spans="1:7" s="67" customFormat="1" ht="6.75" customHeight="1" x14ac:dyDescent="0.3">
      <c r="A11" s="105"/>
      <c r="B11" s="105"/>
      <c r="C11" s="105"/>
      <c r="D11" s="105"/>
      <c r="E11" s="105"/>
      <c r="F11" s="105"/>
      <c r="G11" s="104"/>
    </row>
    <row r="12" spans="1:7" ht="30" x14ac:dyDescent="0.3">
      <c r="A12" s="195"/>
      <c r="B12" s="195"/>
      <c r="C12" s="195"/>
      <c r="D12" s="195"/>
      <c r="E12" s="58" t="s">
        <v>12</v>
      </c>
      <c r="F12" s="59" t="s">
        <v>13</v>
      </c>
    </row>
    <row r="13" spans="1:7" ht="15.75" hidden="1" x14ac:dyDescent="0.25">
      <c r="A13" s="6" t="s">
        <v>10</v>
      </c>
      <c r="B13" s="6"/>
      <c r="C13" s="6"/>
      <c r="D13" s="6"/>
      <c r="E13" s="60"/>
      <c r="F13" s="61">
        <v>1014070</v>
      </c>
    </row>
    <row r="14" spans="1:7" ht="15.75" hidden="1" x14ac:dyDescent="0.25">
      <c r="A14" s="6" t="s">
        <v>43</v>
      </c>
      <c r="B14" s="6"/>
      <c r="C14" s="6"/>
      <c r="D14" s="6"/>
      <c r="E14" s="62">
        <v>0.10100000000000001</v>
      </c>
      <c r="F14" s="61"/>
    </row>
    <row r="15" spans="1:7" ht="15.75" customHeight="1" x14ac:dyDescent="0.25">
      <c r="A15" s="199" t="s">
        <v>45</v>
      </c>
      <c r="B15" s="200"/>
      <c r="C15" s="200"/>
      <c r="D15" s="201"/>
      <c r="E15" s="3" t="s">
        <v>3</v>
      </c>
      <c r="F15" s="106">
        <f>F16*8</f>
        <v>184</v>
      </c>
    </row>
    <row r="16" spans="1:7" ht="15.75" customHeight="1" x14ac:dyDescent="0.25">
      <c r="A16" s="202"/>
      <c r="B16" s="203"/>
      <c r="C16" s="203"/>
      <c r="D16" s="204"/>
      <c r="E16" s="3" t="s">
        <v>4</v>
      </c>
      <c r="F16" s="106">
        <v>23</v>
      </c>
    </row>
    <row r="17" spans="1:6" ht="29.25" customHeight="1" x14ac:dyDescent="0.25">
      <c r="A17" s="41" t="s">
        <v>46</v>
      </c>
      <c r="B17" s="42"/>
      <c r="C17" s="42"/>
      <c r="D17" s="43"/>
      <c r="E17" s="60" t="s">
        <v>227</v>
      </c>
      <c r="F17" s="106">
        <f>F16*7</f>
        <v>161</v>
      </c>
    </row>
    <row r="18" spans="1:6" ht="15.75" x14ac:dyDescent="0.25">
      <c r="A18" s="186" t="s">
        <v>47</v>
      </c>
      <c r="B18" s="186"/>
      <c r="C18" s="186"/>
      <c r="D18" s="186"/>
      <c r="E18" s="61"/>
      <c r="F18" s="106">
        <v>4</v>
      </c>
    </row>
    <row r="19" spans="1:6" ht="15.75" x14ac:dyDescent="0.25">
      <c r="A19" s="196" t="s">
        <v>172</v>
      </c>
      <c r="B19" s="197"/>
      <c r="C19" s="197"/>
      <c r="D19" s="198"/>
      <c r="E19" s="61"/>
      <c r="F19" s="106">
        <f>F17*F18</f>
        <v>644</v>
      </c>
    </row>
    <row r="20" spans="1:6" ht="15.75" x14ac:dyDescent="0.25">
      <c r="A20" s="40" t="s">
        <v>167</v>
      </c>
      <c r="B20" s="40"/>
      <c r="C20" s="40"/>
      <c r="D20" s="40"/>
      <c r="E20" s="3"/>
      <c r="F20" s="106">
        <v>8</v>
      </c>
    </row>
    <row r="21" spans="1:6" ht="15.75" x14ac:dyDescent="0.25">
      <c r="A21" s="180" t="s">
        <v>48</v>
      </c>
      <c r="B21" s="181"/>
      <c r="C21" s="181"/>
      <c r="D21" s="182"/>
      <c r="E21" s="3"/>
      <c r="F21" s="106">
        <f>F17*F20</f>
        <v>1288</v>
      </c>
    </row>
    <row r="22" spans="1:6" ht="15.75" hidden="1" x14ac:dyDescent="0.25">
      <c r="A22" s="6" t="s">
        <v>35</v>
      </c>
      <c r="B22" s="6"/>
      <c r="C22" s="6"/>
      <c r="D22" s="6"/>
      <c r="E22" s="61"/>
      <c r="F22" s="107">
        <f>F13*F14%</f>
        <v>0</v>
      </c>
    </row>
    <row r="23" spans="1:6" ht="28.5" customHeight="1" x14ac:dyDescent="0.25">
      <c r="A23" s="183"/>
      <c r="B23" s="184"/>
      <c r="C23" s="184"/>
      <c r="D23" s="185"/>
      <c r="E23" s="60" t="s">
        <v>50</v>
      </c>
      <c r="F23" s="107"/>
    </row>
    <row r="24" spans="1:6" ht="15.75" x14ac:dyDescent="0.25">
      <c r="A24" s="6" t="s">
        <v>177</v>
      </c>
      <c r="B24" s="6"/>
      <c r="C24" s="6"/>
      <c r="D24" s="6"/>
      <c r="E24" s="63">
        <f>SUM(E25:E29)</f>
        <v>139.04649999999998</v>
      </c>
      <c r="F24" s="108">
        <f>E24*F15</f>
        <v>25584.555999999997</v>
      </c>
    </row>
    <row r="25" spans="1:6" ht="15.75" x14ac:dyDescent="0.25">
      <c r="A25" s="6" t="s">
        <v>244</v>
      </c>
      <c r="B25" s="6"/>
      <c r="C25" s="6"/>
      <c r="D25" s="6"/>
      <c r="E25" s="14">
        <f>ROUND(12047*12/1973,2)</f>
        <v>73.27</v>
      </c>
      <c r="F25" s="106"/>
    </row>
    <row r="26" spans="1:6" ht="15.75" x14ac:dyDescent="0.25">
      <c r="A26" s="6" t="s">
        <v>173</v>
      </c>
      <c r="B26" s="6"/>
      <c r="C26" s="6"/>
      <c r="D26" s="40"/>
      <c r="E26" s="46">
        <f>ROUND(E25*20%,2)</f>
        <v>14.65</v>
      </c>
      <c r="F26" s="106"/>
    </row>
    <row r="27" spans="1:6" ht="15.75" x14ac:dyDescent="0.25">
      <c r="A27" s="6" t="s">
        <v>174</v>
      </c>
      <c r="B27" s="6"/>
      <c r="C27" s="6"/>
      <c r="D27" s="6"/>
      <c r="E27" s="46">
        <f>ROUND(E25*15%,2)</f>
        <v>10.99</v>
      </c>
      <c r="F27" s="106"/>
    </row>
    <row r="28" spans="1:6" ht="15.75" x14ac:dyDescent="0.25">
      <c r="A28" s="6" t="s">
        <v>175</v>
      </c>
      <c r="B28" s="6"/>
      <c r="C28" s="6"/>
      <c r="D28" s="6"/>
      <c r="E28" s="46">
        <f>ROUND(E25*30%,)</f>
        <v>22</v>
      </c>
      <c r="F28" s="106"/>
    </row>
    <row r="29" spans="1:6" ht="15.75" x14ac:dyDescent="0.25">
      <c r="A29" s="6" t="s">
        <v>176</v>
      </c>
      <c r="B29" s="6"/>
      <c r="C29" s="6"/>
      <c r="D29" s="6"/>
      <c r="E29" s="46">
        <f>(E25+E26+E27+E28)*15%</f>
        <v>18.136499999999998</v>
      </c>
      <c r="F29" s="106"/>
    </row>
    <row r="30" spans="1:6" ht="15.75" x14ac:dyDescent="0.25">
      <c r="A30" s="6" t="s">
        <v>171</v>
      </c>
      <c r="B30" s="6"/>
      <c r="C30" s="6"/>
      <c r="D30" s="6"/>
      <c r="E30" s="46">
        <v>0.30199999999999999</v>
      </c>
      <c r="F30" s="108">
        <f>F24*E30</f>
        <v>7726.5359119999985</v>
      </c>
    </row>
    <row r="31" spans="1:6" ht="15.75" x14ac:dyDescent="0.25">
      <c r="A31" s="6" t="s">
        <v>49</v>
      </c>
      <c r="B31" s="6"/>
      <c r="C31" s="6"/>
      <c r="D31" s="6"/>
      <c r="E31" s="3"/>
      <c r="F31" s="108">
        <f>F36+F38</f>
        <v>45450.649999999994</v>
      </c>
    </row>
    <row r="32" spans="1:6" ht="15.75" x14ac:dyDescent="0.25">
      <c r="A32" s="6" t="s">
        <v>170</v>
      </c>
      <c r="B32" s="6"/>
      <c r="C32" s="6"/>
      <c r="D32" s="6"/>
      <c r="E32" s="3">
        <v>46.5</v>
      </c>
      <c r="F32" s="106">
        <f>E32*F21/100</f>
        <v>598.91999999999996</v>
      </c>
    </row>
    <row r="33" spans="1:8" ht="15.75" x14ac:dyDescent="0.25">
      <c r="A33" s="6" t="s">
        <v>168</v>
      </c>
      <c r="B33" s="6"/>
      <c r="C33" s="6"/>
      <c r="D33" s="6"/>
      <c r="E33" s="3">
        <v>1.2</v>
      </c>
      <c r="F33" s="106">
        <f>E33*F17</f>
        <v>193.2</v>
      </c>
    </row>
    <row r="34" spans="1:8" ht="28.5" customHeight="1" x14ac:dyDescent="0.25">
      <c r="A34" s="188" t="s">
        <v>189</v>
      </c>
      <c r="B34" s="189"/>
      <c r="C34" s="189"/>
      <c r="D34" s="190"/>
      <c r="E34" s="112">
        <v>0.1545</v>
      </c>
      <c r="F34" s="106">
        <f>ROUND((F32+F33)*E34,2)</f>
        <v>122.38</v>
      </c>
      <c r="H34" s="29">
        <f>ROUND(((6*20)+(10*6))/12,2)</f>
        <v>15</v>
      </c>
    </row>
    <row r="35" spans="1:8" ht="15.75" x14ac:dyDescent="0.25">
      <c r="A35" s="41" t="s">
        <v>169</v>
      </c>
      <c r="B35" s="42"/>
      <c r="C35" s="42"/>
      <c r="D35" s="42"/>
      <c r="E35" s="65"/>
      <c r="F35" s="106">
        <f>F32+F33+F34</f>
        <v>914.49999999999989</v>
      </c>
    </row>
    <row r="36" spans="1:8" ht="27.75" customHeight="1" x14ac:dyDescent="0.25">
      <c r="A36" s="180" t="s">
        <v>190</v>
      </c>
      <c r="B36" s="181"/>
      <c r="C36" s="181"/>
      <c r="D36" s="182"/>
      <c r="E36" s="63">
        <v>35</v>
      </c>
      <c r="F36" s="106">
        <f>E36*F35</f>
        <v>32007.499999999996</v>
      </c>
    </row>
    <row r="37" spans="1:8" ht="34.5" customHeight="1" x14ac:dyDescent="0.25">
      <c r="A37" s="188" t="s">
        <v>191</v>
      </c>
      <c r="B37" s="189"/>
      <c r="C37" s="189"/>
      <c r="D37" s="190"/>
      <c r="E37" s="64">
        <v>2.9399999999999999E-2</v>
      </c>
      <c r="F37" s="106">
        <f>E37*F35</f>
        <v>26.886299999999995</v>
      </c>
    </row>
    <row r="38" spans="1:8" ht="31.5" customHeight="1" x14ac:dyDescent="0.25">
      <c r="A38" s="188" t="s">
        <v>192</v>
      </c>
      <c r="B38" s="189"/>
      <c r="C38" s="189"/>
      <c r="D38" s="190"/>
      <c r="E38" s="63">
        <v>500</v>
      </c>
      <c r="F38" s="106">
        <f>E38*F37</f>
        <v>13443.149999999998</v>
      </c>
    </row>
    <row r="39" spans="1:8" ht="15.75" x14ac:dyDescent="0.25">
      <c r="A39" s="6" t="s">
        <v>229</v>
      </c>
      <c r="B39" s="6"/>
      <c r="C39" s="6"/>
      <c r="D39" s="6"/>
      <c r="E39" s="65">
        <v>0</v>
      </c>
      <c r="F39" s="108">
        <f>ROUND(1014070*E39,2)</f>
        <v>0</v>
      </c>
    </row>
    <row r="40" spans="1:8" ht="15.75" x14ac:dyDescent="0.25">
      <c r="A40" s="6" t="s">
        <v>230</v>
      </c>
      <c r="B40" s="6"/>
      <c r="C40" s="6"/>
      <c r="D40" s="6"/>
      <c r="E40" s="3"/>
      <c r="F40" s="108">
        <v>5360</v>
      </c>
    </row>
    <row r="41" spans="1:8" ht="15.75" x14ac:dyDescent="0.25">
      <c r="A41" s="6" t="s">
        <v>233</v>
      </c>
      <c r="B41" s="6"/>
      <c r="C41" s="6"/>
      <c r="D41" s="6"/>
      <c r="E41" s="3"/>
      <c r="F41" s="108">
        <f>F40+F39+F31+F30+F24</f>
        <v>84121.741911999998</v>
      </c>
    </row>
    <row r="42" spans="1:8" ht="15.75" x14ac:dyDescent="0.25">
      <c r="A42" s="6" t="s">
        <v>234</v>
      </c>
      <c r="B42" s="6"/>
      <c r="C42" s="6"/>
      <c r="D42" s="6"/>
      <c r="E42" s="65">
        <v>0.1</v>
      </c>
      <c r="F42" s="108">
        <f>ROUND(F41*E42,2)</f>
        <v>8412.17</v>
      </c>
    </row>
    <row r="43" spans="1:8" ht="15.75" x14ac:dyDescent="0.25">
      <c r="A43" s="6" t="s">
        <v>1</v>
      </c>
      <c r="B43" s="6"/>
      <c r="C43" s="6"/>
      <c r="D43" s="6"/>
      <c r="E43" s="3"/>
      <c r="F43" s="108">
        <f>F41+F42</f>
        <v>92533.911911999996</v>
      </c>
    </row>
    <row r="44" spans="1:8" ht="15.75" x14ac:dyDescent="0.25">
      <c r="A44" s="6" t="s">
        <v>231</v>
      </c>
      <c r="B44" s="6"/>
      <c r="C44" s="6"/>
      <c r="D44" s="6"/>
      <c r="E44" s="65">
        <v>0.1</v>
      </c>
      <c r="F44" s="108">
        <f>ROUND(F43*E44,2)</f>
        <v>9253.39</v>
      </c>
    </row>
    <row r="45" spans="1:8" ht="20.25" customHeight="1" x14ac:dyDescent="0.25">
      <c r="A45" s="4" t="s">
        <v>235</v>
      </c>
      <c r="B45" s="4"/>
      <c r="C45" s="6"/>
      <c r="D45" s="6"/>
      <c r="E45" s="3"/>
      <c r="F45" s="108">
        <f>F43+F44</f>
        <v>101787.301912</v>
      </c>
    </row>
    <row r="46" spans="1:8" ht="34.5" customHeight="1" x14ac:dyDescent="0.25">
      <c r="A46" s="205" t="s">
        <v>232</v>
      </c>
      <c r="B46" s="206"/>
      <c r="C46" s="206"/>
      <c r="D46" s="207"/>
      <c r="E46" s="61"/>
      <c r="F46" s="108">
        <f>ROUND(F45/F19,0)</f>
        <v>158</v>
      </c>
    </row>
    <row r="47" spans="1:8" ht="15.75" hidden="1" x14ac:dyDescent="0.25">
      <c r="A47" s="192" t="s">
        <v>33</v>
      </c>
      <c r="B47" s="193"/>
      <c r="C47" s="193"/>
      <c r="D47" s="194"/>
      <c r="E47" s="66">
        <f>F31/F21</f>
        <v>35.287771739130427</v>
      </c>
      <c r="F47" s="66">
        <f>F31/F21</f>
        <v>35.287771739130427</v>
      </c>
    </row>
    <row r="48" spans="1:8" ht="15.75" customHeight="1" x14ac:dyDescent="0.25">
      <c r="A48" s="31"/>
      <c r="B48" s="31"/>
      <c r="C48" s="31"/>
      <c r="D48" s="31"/>
      <c r="E48" s="31"/>
      <c r="F48" s="31"/>
    </row>
    <row r="49" spans="1:6" ht="15.75" customHeight="1" x14ac:dyDescent="0.25">
      <c r="A49" s="24" t="s">
        <v>136</v>
      </c>
      <c r="B49" s="24"/>
      <c r="C49" s="24"/>
      <c r="D49" s="24"/>
      <c r="E49" s="67"/>
      <c r="F49" s="67" t="s">
        <v>137</v>
      </c>
    </row>
    <row r="50" spans="1:6" ht="15.75" x14ac:dyDescent="0.25">
      <c r="A50" s="101" t="s">
        <v>135</v>
      </c>
      <c r="B50" s="24"/>
      <c r="C50" s="24"/>
      <c r="D50" s="24"/>
      <c r="E50" s="67"/>
      <c r="F50" s="67"/>
    </row>
  </sheetData>
  <mergeCells count="18">
    <mergeCell ref="A23:D23"/>
    <mergeCell ref="A36:D36"/>
    <mergeCell ref="A2:C3"/>
    <mergeCell ref="E2:F3"/>
    <mergeCell ref="A47:D47"/>
    <mergeCell ref="A7:G7"/>
    <mergeCell ref="A8:G8"/>
    <mergeCell ref="A12:D12"/>
    <mergeCell ref="A18:D18"/>
    <mergeCell ref="A21:D21"/>
    <mergeCell ref="A9:F9"/>
    <mergeCell ref="A19:D19"/>
    <mergeCell ref="A15:D16"/>
    <mergeCell ref="A46:D46"/>
    <mergeCell ref="A38:D38"/>
    <mergeCell ref="A37:D37"/>
    <mergeCell ref="A34:D34"/>
    <mergeCell ref="A10:F10"/>
  </mergeCells>
  <pageMargins left="0.39370078740157483" right="0.19685039370078741" top="0.27559055118110237" bottom="0.27559055118110237" header="0.27559055118110237" footer="0.31496062992125984"/>
  <pageSetup paperSize="9" scale="93" fitToWidth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zoomScale="110" zoomScaleNormal="110" workbookViewId="0">
      <selection activeCell="F4" sqref="F4"/>
    </sheetView>
  </sheetViews>
  <sheetFormatPr defaultRowHeight="15" x14ac:dyDescent="0.25"/>
  <cols>
    <col min="1" max="1" width="3.42578125" style="29" customWidth="1"/>
    <col min="2" max="2" width="9.140625" style="29"/>
    <col min="3" max="3" width="7.5703125" style="29" customWidth="1"/>
    <col min="4" max="4" width="7.85546875" style="29" customWidth="1"/>
    <col min="5" max="5" width="38" style="29" customWidth="1"/>
    <col min="6" max="6" width="15.28515625" style="29" customWidth="1"/>
    <col min="7" max="7" width="14.5703125" style="29" customWidth="1"/>
    <col min="8" max="16384" width="9.140625" style="29"/>
  </cols>
  <sheetData>
    <row r="1" spans="1:9" ht="0.75" customHeight="1" x14ac:dyDescent="0.3">
      <c r="B1" s="35"/>
    </row>
    <row r="2" spans="1:9" ht="15.75" x14ac:dyDescent="0.25">
      <c r="A2" s="209" t="s">
        <v>15</v>
      </c>
      <c r="B2" s="209"/>
      <c r="C2" s="209"/>
      <c r="D2" s="209"/>
      <c r="E2" s="12" t="s">
        <v>60</v>
      </c>
      <c r="F2" s="12"/>
      <c r="G2" s="12"/>
      <c r="H2" s="12"/>
      <c r="I2" s="30"/>
    </row>
    <row r="3" spans="1:9" ht="33" customHeight="1" x14ac:dyDescent="0.25">
      <c r="A3" s="168" t="s">
        <v>151</v>
      </c>
      <c r="B3" s="168"/>
      <c r="C3" s="168"/>
      <c r="D3" s="168"/>
      <c r="E3" s="103" t="s">
        <v>142</v>
      </c>
      <c r="F3" s="168" t="s">
        <v>143</v>
      </c>
      <c r="G3" s="168"/>
      <c r="H3" s="12"/>
      <c r="I3" s="30"/>
    </row>
    <row r="4" spans="1:9" ht="32.25" customHeight="1" x14ac:dyDescent="0.25">
      <c r="A4" s="168"/>
      <c r="B4" s="168"/>
      <c r="C4" s="168"/>
      <c r="D4" s="168"/>
      <c r="E4" s="28"/>
      <c r="F4" s="1"/>
      <c r="G4" s="28"/>
      <c r="H4" s="12"/>
      <c r="I4" s="30"/>
    </row>
    <row r="5" spans="1:9" ht="15.75" x14ac:dyDescent="0.25">
      <c r="A5" s="1" t="s">
        <v>274</v>
      </c>
      <c r="C5" s="1"/>
      <c r="D5" s="1"/>
      <c r="E5" s="12"/>
      <c r="F5" s="12" t="s">
        <v>145</v>
      </c>
      <c r="G5" s="12"/>
      <c r="H5" s="12"/>
      <c r="I5" s="30"/>
    </row>
    <row r="6" spans="1:9" ht="15.75" x14ac:dyDescent="0.25">
      <c r="A6" s="12" t="s">
        <v>134</v>
      </c>
      <c r="C6" s="12"/>
      <c r="D6" s="12"/>
      <c r="E6" s="12" t="s">
        <v>144</v>
      </c>
      <c r="G6" s="12"/>
      <c r="H6" s="12"/>
      <c r="I6" s="30"/>
    </row>
    <row r="7" spans="1:9" ht="15.75" x14ac:dyDescent="0.25">
      <c r="A7" s="1"/>
      <c r="B7" s="1"/>
      <c r="C7" s="1"/>
      <c r="D7" s="1"/>
      <c r="E7" s="12"/>
      <c r="F7" s="12"/>
      <c r="G7" s="12"/>
      <c r="H7" s="1"/>
    </row>
    <row r="8" spans="1:9" ht="18.75" customHeight="1" x14ac:dyDescent="0.25">
      <c r="A8" s="209" t="s">
        <v>52</v>
      </c>
      <c r="B8" s="209"/>
      <c r="C8" s="209"/>
      <c r="D8" s="209"/>
      <c r="E8" s="209"/>
      <c r="F8" s="209"/>
      <c r="G8" s="209"/>
      <c r="H8" s="12"/>
    </row>
    <row r="9" spans="1:9" ht="15" customHeight="1" x14ac:dyDescent="0.25">
      <c r="A9" s="210" t="s">
        <v>69</v>
      </c>
      <c r="B9" s="210"/>
      <c r="C9" s="210"/>
      <c r="D9" s="210"/>
      <c r="E9" s="210"/>
      <c r="F9" s="210"/>
      <c r="G9" s="210"/>
      <c r="H9" s="12"/>
    </row>
    <row r="10" spans="1:9" ht="17.25" customHeight="1" x14ac:dyDescent="0.25">
      <c r="A10" s="179" t="s">
        <v>118</v>
      </c>
      <c r="B10" s="179"/>
      <c r="C10" s="179"/>
      <c r="D10" s="179"/>
      <c r="E10" s="179"/>
      <c r="F10" s="179"/>
      <c r="G10" s="179"/>
      <c r="H10" s="1"/>
    </row>
    <row r="11" spans="1:9" ht="17.25" customHeight="1" x14ac:dyDescent="0.25">
      <c r="A11" s="211" t="s">
        <v>53</v>
      </c>
      <c r="B11" s="211"/>
      <c r="C11" s="211"/>
      <c r="D11" s="211"/>
      <c r="E11" s="211"/>
      <c r="F11" s="211"/>
      <c r="G11" s="211"/>
      <c r="H11" s="1"/>
    </row>
    <row r="12" spans="1:9" ht="26.25" customHeight="1" x14ac:dyDescent="0.25">
      <c r="A12" s="6"/>
      <c r="B12" s="172"/>
      <c r="C12" s="173"/>
      <c r="D12" s="173"/>
      <c r="E12" s="174"/>
      <c r="F12" s="44" t="s">
        <v>12</v>
      </c>
      <c r="G12" s="4" t="s">
        <v>13</v>
      </c>
      <c r="H12" s="1"/>
    </row>
    <row r="13" spans="1:9" ht="16.5" customHeight="1" x14ac:dyDescent="0.25">
      <c r="A13" s="6">
        <v>1</v>
      </c>
      <c r="B13" s="6" t="s">
        <v>180</v>
      </c>
      <c r="C13" s="6"/>
      <c r="D13" s="6"/>
      <c r="E13" s="6"/>
      <c r="F13" s="45"/>
      <c r="G13" s="110">
        <v>1014070</v>
      </c>
      <c r="H13" s="1"/>
    </row>
    <row r="14" spans="1:9" ht="15.75" customHeight="1" x14ac:dyDescent="0.25">
      <c r="A14" s="6">
        <v>2</v>
      </c>
      <c r="B14" s="6" t="s">
        <v>236</v>
      </c>
      <c r="C14" s="14"/>
      <c r="D14" s="6"/>
      <c r="E14" s="6"/>
      <c r="F14" s="51">
        <v>0.10100000000000001</v>
      </c>
      <c r="G14" s="110">
        <v>10.1</v>
      </c>
      <c r="H14" s="1"/>
    </row>
    <row r="15" spans="1:9" ht="15" customHeight="1" x14ac:dyDescent="0.25">
      <c r="A15" s="6">
        <v>3</v>
      </c>
      <c r="B15" s="6" t="s">
        <v>179</v>
      </c>
      <c r="C15" s="6"/>
      <c r="D15" s="37"/>
      <c r="E15" s="38"/>
      <c r="F15" s="14" t="s">
        <v>3</v>
      </c>
      <c r="G15" s="110">
        <v>1400</v>
      </c>
      <c r="H15" s="1"/>
    </row>
    <row r="16" spans="1:9" ht="12.75" customHeight="1" x14ac:dyDescent="0.25">
      <c r="A16" s="6">
        <v>4</v>
      </c>
      <c r="B16" s="183"/>
      <c r="C16" s="184"/>
      <c r="D16" s="184"/>
      <c r="E16" s="184"/>
      <c r="F16" s="14" t="s">
        <v>4</v>
      </c>
      <c r="G16" s="110">
        <v>175</v>
      </c>
      <c r="H16" s="1"/>
    </row>
    <row r="17" spans="1:8" ht="15" customHeight="1" x14ac:dyDescent="0.25">
      <c r="A17" s="6">
        <v>5</v>
      </c>
      <c r="B17" s="36" t="s">
        <v>61</v>
      </c>
      <c r="C17" s="36"/>
      <c r="D17" s="36"/>
      <c r="E17" s="36"/>
      <c r="F17" s="14" t="s">
        <v>11</v>
      </c>
      <c r="G17" s="110">
        <f>G16*4</f>
        <v>700</v>
      </c>
      <c r="H17" s="1"/>
    </row>
    <row r="18" spans="1:8" ht="13.5" customHeight="1" x14ac:dyDescent="0.25">
      <c r="A18" s="6">
        <v>6</v>
      </c>
      <c r="B18" s="180" t="s">
        <v>6</v>
      </c>
      <c r="C18" s="181"/>
      <c r="D18" s="181"/>
      <c r="E18" s="182"/>
      <c r="F18" s="14"/>
      <c r="G18" s="110">
        <v>5</v>
      </c>
      <c r="H18" s="1"/>
    </row>
    <row r="19" spans="1:8" ht="15.75" customHeight="1" x14ac:dyDescent="0.25">
      <c r="A19" s="6">
        <v>7</v>
      </c>
      <c r="B19" s="188" t="s">
        <v>58</v>
      </c>
      <c r="C19" s="189"/>
      <c r="D19" s="189"/>
      <c r="E19" s="190"/>
      <c r="F19" s="22"/>
      <c r="G19" s="110">
        <f>G17*G18</f>
        <v>3500</v>
      </c>
      <c r="H19" s="1"/>
    </row>
    <row r="20" spans="1:8" ht="15" customHeight="1" x14ac:dyDescent="0.25">
      <c r="A20" s="6">
        <v>8</v>
      </c>
      <c r="B20" s="36" t="s">
        <v>7</v>
      </c>
      <c r="C20" s="36"/>
      <c r="D20" s="36"/>
      <c r="E20" s="36"/>
      <c r="F20" s="22"/>
      <c r="G20" s="110">
        <v>16</v>
      </c>
      <c r="H20" s="1"/>
    </row>
    <row r="21" spans="1:8" ht="15" customHeight="1" x14ac:dyDescent="0.25">
      <c r="A21" s="6">
        <v>9</v>
      </c>
      <c r="B21" s="180" t="s">
        <v>59</v>
      </c>
      <c r="C21" s="181"/>
      <c r="D21" s="181"/>
      <c r="E21" s="182"/>
      <c r="F21" s="22"/>
      <c r="G21" s="110">
        <f>G17*G20</f>
        <v>11200</v>
      </c>
      <c r="H21" s="1"/>
    </row>
    <row r="22" spans="1:8" ht="15.75" customHeight="1" x14ac:dyDescent="0.25">
      <c r="A22" s="6">
        <v>10</v>
      </c>
      <c r="B22" s="6" t="s">
        <v>183</v>
      </c>
      <c r="C22" s="6"/>
      <c r="D22" s="6"/>
      <c r="E22" s="6"/>
      <c r="F22" s="22"/>
      <c r="G22" s="111">
        <v>101407</v>
      </c>
      <c r="H22" s="1"/>
    </row>
    <row r="23" spans="1:8" ht="14.25" customHeight="1" x14ac:dyDescent="0.25">
      <c r="A23" s="6"/>
      <c r="B23" s="183"/>
      <c r="C23" s="184"/>
      <c r="D23" s="184"/>
      <c r="E23" s="185"/>
      <c r="F23" s="14" t="s">
        <v>68</v>
      </c>
      <c r="G23" s="111"/>
      <c r="H23" s="1"/>
    </row>
    <row r="24" spans="1:8" ht="18" customHeight="1" x14ac:dyDescent="0.25">
      <c r="A24" s="6">
        <v>11</v>
      </c>
      <c r="B24" s="6" t="s">
        <v>184</v>
      </c>
      <c r="C24" s="6"/>
      <c r="D24" s="6"/>
      <c r="E24" s="6"/>
      <c r="F24" s="46">
        <f>SUM(F25:F29)</f>
        <v>139.04649999999998</v>
      </c>
      <c r="G24" s="111">
        <f>F24*G15</f>
        <v>194665.09999999998</v>
      </c>
      <c r="H24" s="1"/>
    </row>
    <row r="25" spans="1:8" ht="13.5" customHeight="1" x14ac:dyDescent="0.25">
      <c r="A25" s="6">
        <v>12</v>
      </c>
      <c r="B25" s="6" t="s">
        <v>8</v>
      </c>
      <c r="C25" s="6"/>
      <c r="D25" s="6"/>
      <c r="E25" s="6"/>
      <c r="F25" s="14">
        <f>ROUND(12047*12/1973,2)</f>
        <v>73.27</v>
      </c>
      <c r="G25" s="110"/>
      <c r="H25" s="1"/>
    </row>
    <row r="26" spans="1:8" ht="14.25" customHeight="1" x14ac:dyDescent="0.25">
      <c r="A26" s="6">
        <v>13</v>
      </c>
      <c r="B26" s="6" t="s">
        <v>103</v>
      </c>
      <c r="C26" s="6"/>
      <c r="D26" s="6"/>
      <c r="E26" s="6"/>
      <c r="F26" s="46">
        <f>ROUND(F25*20%,2)</f>
        <v>14.65</v>
      </c>
      <c r="G26" s="110"/>
      <c r="H26" s="1"/>
    </row>
    <row r="27" spans="1:8" ht="12.75" customHeight="1" x14ac:dyDescent="0.25">
      <c r="A27" s="6">
        <v>14</v>
      </c>
      <c r="B27" s="6" t="s">
        <v>119</v>
      </c>
      <c r="C27" s="6"/>
      <c r="D27" s="6"/>
      <c r="E27" s="6"/>
      <c r="F27" s="46">
        <f>ROUND(F25*15%,2)</f>
        <v>10.99</v>
      </c>
      <c r="G27" s="110"/>
      <c r="H27" s="1"/>
    </row>
    <row r="28" spans="1:8" ht="14.25" customHeight="1" x14ac:dyDescent="0.25">
      <c r="A28" s="6">
        <v>15</v>
      </c>
      <c r="B28" s="6" t="s">
        <v>181</v>
      </c>
      <c r="C28" s="6"/>
      <c r="D28" s="6"/>
      <c r="E28" s="6"/>
      <c r="F28" s="46">
        <f>ROUND(F25*30%,)</f>
        <v>22</v>
      </c>
      <c r="G28" s="110"/>
      <c r="H28" s="1"/>
    </row>
    <row r="29" spans="1:8" ht="14.25" customHeight="1" x14ac:dyDescent="0.25">
      <c r="A29" s="6">
        <v>16</v>
      </c>
      <c r="B29" s="6" t="s">
        <v>182</v>
      </c>
      <c r="C29" s="6"/>
      <c r="D29" s="6"/>
      <c r="E29" s="6"/>
      <c r="F29" s="46">
        <f>(F25+F26+F27+F28)*15%</f>
        <v>18.136499999999998</v>
      </c>
      <c r="G29" s="110"/>
      <c r="H29" s="1"/>
    </row>
    <row r="30" spans="1:8" ht="16.5" customHeight="1" x14ac:dyDescent="0.25">
      <c r="A30" s="6">
        <v>17</v>
      </c>
      <c r="B30" s="6" t="s">
        <v>185</v>
      </c>
      <c r="C30" s="6"/>
      <c r="D30" s="6"/>
      <c r="E30" s="6"/>
      <c r="F30" s="161">
        <v>0.30199999999999999</v>
      </c>
      <c r="G30" s="111">
        <f>G24*F30</f>
        <v>58788.860199999988</v>
      </c>
      <c r="H30" s="1"/>
    </row>
    <row r="31" spans="1:8" ht="14.25" customHeight="1" x14ac:dyDescent="0.25">
      <c r="A31" s="6">
        <v>18</v>
      </c>
      <c r="B31" s="6" t="s">
        <v>186</v>
      </c>
      <c r="C31" s="6"/>
      <c r="D31" s="6"/>
      <c r="E31" s="6"/>
      <c r="F31" s="22"/>
      <c r="G31" s="111">
        <f>G36+G38</f>
        <v>344282.4</v>
      </c>
      <c r="H31" s="1"/>
    </row>
    <row r="32" spans="1:8" ht="15" customHeight="1" x14ac:dyDescent="0.25">
      <c r="A32" s="6">
        <v>19</v>
      </c>
      <c r="B32" s="36" t="s">
        <v>187</v>
      </c>
      <c r="C32" s="36"/>
      <c r="D32" s="36"/>
      <c r="E32" s="49"/>
      <c r="F32" s="50">
        <v>46.5</v>
      </c>
      <c r="G32" s="110">
        <f>F32*G21/100</f>
        <v>5208</v>
      </c>
      <c r="H32" s="1"/>
    </row>
    <row r="33" spans="1:9" ht="13.5" customHeight="1" x14ac:dyDescent="0.25">
      <c r="A33" s="6">
        <v>20</v>
      </c>
      <c r="B33" s="36" t="s">
        <v>188</v>
      </c>
      <c r="C33" s="36"/>
      <c r="D33" s="36"/>
      <c r="E33" s="36"/>
      <c r="F33" s="14">
        <v>1.2</v>
      </c>
      <c r="G33" s="110">
        <f>F33*G17</f>
        <v>840</v>
      </c>
      <c r="H33" s="1"/>
    </row>
    <row r="34" spans="1:9" ht="45.75" customHeight="1" x14ac:dyDescent="0.25">
      <c r="A34" s="6">
        <v>21</v>
      </c>
      <c r="B34" s="188" t="s">
        <v>206</v>
      </c>
      <c r="C34" s="189"/>
      <c r="D34" s="189"/>
      <c r="E34" s="190"/>
      <c r="F34" s="48">
        <v>0.15</v>
      </c>
      <c r="G34" s="110">
        <f>(G32+G33)*15%</f>
        <v>907.19999999999993</v>
      </c>
      <c r="H34" s="1"/>
    </row>
    <row r="35" spans="1:9" ht="15.75" customHeight="1" x14ac:dyDescent="0.25">
      <c r="A35" s="6">
        <v>22</v>
      </c>
      <c r="B35" s="188" t="s">
        <v>193</v>
      </c>
      <c r="C35" s="189"/>
      <c r="D35" s="189"/>
      <c r="E35" s="190"/>
      <c r="F35" s="51"/>
      <c r="G35" s="110">
        <f>G32+G33+G34</f>
        <v>6955.2</v>
      </c>
      <c r="H35" s="1"/>
    </row>
    <row r="36" spans="1:9" ht="15.75" customHeight="1" x14ac:dyDescent="0.25">
      <c r="A36" s="6">
        <v>23</v>
      </c>
      <c r="B36" s="188" t="s">
        <v>205</v>
      </c>
      <c r="C36" s="189"/>
      <c r="D36" s="189"/>
      <c r="E36" s="190"/>
      <c r="F36" s="46">
        <v>35</v>
      </c>
      <c r="G36" s="110">
        <f>F36*G35</f>
        <v>243432</v>
      </c>
      <c r="H36" s="1"/>
    </row>
    <row r="37" spans="1:9" ht="31.5" customHeight="1" x14ac:dyDescent="0.25">
      <c r="A37" s="6">
        <v>24</v>
      </c>
      <c r="B37" s="188" t="s">
        <v>204</v>
      </c>
      <c r="C37" s="189"/>
      <c r="D37" s="189"/>
      <c r="E37" s="190"/>
      <c r="F37" s="48">
        <v>2.9000000000000001E-2</v>
      </c>
      <c r="G37" s="110">
        <f>F37*G35</f>
        <v>201.70080000000002</v>
      </c>
      <c r="H37" s="1"/>
    </row>
    <row r="38" spans="1:9" ht="16.5" customHeight="1" x14ac:dyDescent="0.25">
      <c r="A38" s="6">
        <v>25</v>
      </c>
      <c r="B38" s="188" t="s">
        <v>245</v>
      </c>
      <c r="C38" s="189"/>
      <c r="D38" s="189"/>
      <c r="E38" s="190"/>
      <c r="F38" s="46">
        <v>500</v>
      </c>
      <c r="G38" s="110">
        <f>F38*G37</f>
        <v>100850.40000000001</v>
      </c>
      <c r="H38" s="1"/>
    </row>
    <row r="39" spans="1:9" ht="30.75" customHeight="1" x14ac:dyDescent="0.25">
      <c r="A39" s="6">
        <v>26</v>
      </c>
      <c r="B39" s="213" t="s">
        <v>203</v>
      </c>
      <c r="C39" s="214"/>
      <c r="D39" s="214"/>
      <c r="E39" s="215"/>
      <c r="F39" s="51">
        <v>0.3</v>
      </c>
      <c r="G39" s="111">
        <f>ROUND(G13*F39,2)</f>
        <v>304221</v>
      </c>
      <c r="H39" s="1"/>
    </row>
    <row r="40" spans="1:9" ht="15.75" customHeight="1" x14ac:dyDescent="0.25">
      <c r="A40" s="6">
        <v>27</v>
      </c>
      <c r="B40" s="188" t="s">
        <v>194</v>
      </c>
      <c r="C40" s="189"/>
      <c r="D40" s="189"/>
      <c r="E40" s="190"/>
      <c r="F40" s="22"/>
      <c r="G40" s="142">
        <v>5360</v>
      </c>
      <c r="H40" s="1"/>
    </row>
    <row r="41" spans="1:9" ht="31.5" customHeight="1" x14ac:dyDescent="0.25">
      <c r="A41" s="6">
        <v>28</v>
      </c>
      <c r="B41" s="213" t="s">
        <v>202</v>
      </c>
      <c r="C41" s="216"/>
      <c r="D41" s="216"/>
      <c r="E41" s="217"/>
      <c r="F41" s="22"/>
      <c r="G41" s="111">
        <f>G40+G39+G31+G30+G24+G22</f>
        <v>1008724.3602</v>
      </c>
      <c r="H41" s="1"/>
    </row>
    <row r="42" spans="1:9" ht="15.75" customHeight="1" x14ac:dyDescent="0.25">
      <c r="A42" s="6">
        <v>29</v>
      </c>
      <c r="B42" s="188" t="s">
        <v>199</v>
      </c>
      <c r="C42" s="189"/>
      <c r="D42" s="189"/>
      <c r="E42" s="190"/>
      <c r="F42" s="51">
        <v>0.1</v>
      </c>
      <c r="G42" s="111">
        <f>G41*F42</f>
        <v>100872.43602000001</v>
      </c>
      <c r="H42" s="1"/>
    </row>
    <row r="43" spans="1:9" ht="16.5" customHeight="1" x14ac:dyDescent="0.25">
      <c r="A43" s="6">
        <v>30</v>
      </c>
      <c r="B43" s="188" t="s">
        <v>198</v>
      </c>
      <c r="C43" s="189"/>
      <c r="D43" s="189"/>
      <c r="E43" s="190"/>
      <c r="F43" s="14"/>
      <c r="G43" s="111">
        <f>G41+G42</f>
        <v>1109596.7962199999</v>
      </c>
      <c r="H43" s="1"/>
    </row>
    <row r="44" spans="1:9" ht="16.5" customHeight="1" x14ac:dyDescent="0.25">
      <c r="A44" s="6">
        <v>31</v>
      </c>
      <c r="B44" s="188" t="s">
        <v>200</v>
      </c>
      <c r="C44" s="189"/>
      <c r="D44" s="189"/>
      <c r="E44" s="190"/>
      <c r="F44" s="51">
        <v>9.9900000000000003E-2</v>
      </c>
      <c r="G44" s="111">
        <f>G43*F44</f>
        <v>110848.719942378</v>
      </c>
      <c r="H44" s="1"/>
    </row>
    <row r="45" spans="1:9" ht="18" customHeight="1" x14ac:dyDescent="0.25">
      <c r="A45" s="6">
        <v>32</v>
      </c>
      <c r="B45" s="188" t="s">
        <v>201</v>
      </c>
      <c r="C45" s="189"/>
      <c r="D45" s="189"/>
      <c r="E45" s="190"/>
      <c r="F45" s="51">
        <v>0.01</v>
      </c>
      <c r="G45" s="111">
        <f>(G43+G44)*F45</f>
        <v>12204.455161623779</v>
      </c>
      <c r="H45" s="1"/>
    </row>
    <row r="46" spans="1:9" ht="18" customHeight="1" x14ac:dyDescent="0.25">
      <c r="A46" s="6">
        <v>33</v>
      </c>
      <c r="B46" s="188" t="s">
        <v>197</v>
      </c>
      <c r="C46" s="189"/>
      <c r="D46" s="189"/>
      <c r="E46" s="190"/>
      <c r="F46" s="22"/>
      <c r="G46" s="111">
        <f>G43+G44+G45</f>
        <v>1232649.9713240017</v>
      </c>
      <c r="H46" s="1"/>
    </row>
    <row r="47" spans="1:9" ht="30" customHeight="1" x14ac:dyDescent="0.25">
      <c r="A47" s="6">
        <v>34</v>
      </c>
      <c r="B47" s="205" t="s">
        <v>196</v>
      </c>
      <c r="C47" s="206"/>
      <c r="D47" s="206"/>
      <c r="E47" s="207"/>
      <c r="F47" s="22"/>
      <c r="G47" s="111">
        <f>ROUND(G46/G19,0)</f>
        <v>352</v>
      </c>
      <c r="H47" s="1"/>
    </row>
    <row r="48" spans="1:9" ht="29.25" customHeight="1" x14ac:dyDescent="0.25">
      <c r="A48" s="6">
        <v>35</v>
      </c>
      <c r="B48" s="212" t="s">
        <v>195</v>
      </c>
      <c r="C48" s="212"/>
      <c r="D48" s="212"/>
      <c r="E48" s="212"/>
      <c r="F48" s="47"/>
      <c r="G48" s="111">
        <f>ROUND(G31/G21,0)</f>
        <v>31</v>
      </c>
      <c r="H48" s="1"/>
      <c r="I48" s="52"/>
    </row>
    <row r="49" spans="1:9" ht="18" customHeight="1" x14ac:dyDescent="0.25">
      <c r="A49" s="24"/>
      <c r="B49" s="33"/>
      <c r="C49" s="33"/>
      <c r="D49" s="33"/>
      <c r="E49" s="33"/>
      <c r="F49" s="53"/>
      <c r="G49" s="53"/>
      <c r="H49" s="1"/>
      <c r="I49" s="52"/>
    </row>
    <row r="50" spans="1:9" ht="15.75" x14ac:dyDescent="0.25">
      <c r="A50" s="1"/>
      <c r="B50" s="24" t="s">
        <v>136</v>
      </c>
      <c r="C50" s="24"/>
      <c r="D50" s="24"/>
      <c r="E50" s="24"/>
      <c r="F50" s="67"/>
      <c r="G50" s="67" t="s">
        <v>137</v>
      </c>
      <c r="H50" s="1"/>
    </row>
    <row r="51" spans="1:9" ht="15.75" x14ac:dyDescent="0.25">
      <c r="A51" s="1"/>
      <c r="B51" s="24"/>
      <c r="C51" s="24"/>
      <c r="D51" s="24"/>
      <c r="E51" s="24"/>
      <c r="F51" s="24"/>
      <c r="G51" s="24"/>
      <c r="H51" s="1"/>
    </row>
    <row r="52" spans="1:9" ht="15.75" x14ac:dyDescent="0.25">
      <c r="A52" s="1"/>
      <c r="B52" s="1"/>
      <c r="C52" s="1"/>
      <c r="D52" s="1"/>
      <c r="E52" s="1"/>
      <c r="F52" s="1"/>
      <c r="G52" s="1"/>
      <c r="H52" s="1"/>
    </row>
    <row r="55" spans="1:9" x14ac:dyDescent="0.25">
      <c r="E55" s="52"/>
    </row>
    <row r="65" spans="8:8" x14ac:dyDescent="0.25">
      <c r="H65" s="30"/>
    </row>
  </sheetData>
  <mergeCells count="28">
    <mergeCell ref="B12:E12"/>
    <mergeCell ref="B16:E16"/>
    <mergeCell ref="B45:E45"/>
    <mergeCell ref="B23:E23"/>
    <mergeCell ref="B19:E19"/>
    <mergeCell ref="B34:E34"/>
    <mergeCell ref="B36:E36"/>
    <mergeCell ref="B38:E38"/>
    <mergeCell ref="B35:E35"/>
    <mergeCell ref="B37:E37"/>
    <mergeCell ref="B40:E40"/>
    <mergeCell ref="B41:E41"/>
    <mergeCell ref="B42:E42"/>
    <mergeCell ref="B43:E43"/>
    <mergeCell ref="B44:E44"/>
    <mergeCell ref="B48:E48"/>
    <mergeCell ref="B21:E21"/>
    <mergeCell ref="B18:E18"/>
    <mergeCell ref="B46:E46"/>
    <mergeCell ref="B47:E47"/>
    <mergeCell ref="B39:E39"/>
    <mergeCell ref="A8:G8"/>
    <mergeCell ref="A9:G9"/>
    <mergeCell ref="A10:G10"/>
    <mergeCell ref="A11:G11"/>
    <mergeCell ref="A2:D2"/>
    <mergeCell ref="A3:D4"/>
    <mergeCell ref="F3:G3"/>
  </mergeCells>
  <pageMargins left="0.38" right="0.21" top="0.17" bottom="0.17" header="0.16" footer="0.17"/>
  <pageSetup paperSize="9" scale="9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</vt:i4>
      </vt:variant>
    </vt:vector>
  </HeadingPairs>
  <TitlesOfParts>
    <vt:vector size="15" baseType="lpstr">
      <vt:lpstr>Т-150</vt:lpstr>
      <vt:lpstr>Эксковатор</vt:lpstr>
      <vt:lpstr>ДТ-75</vt:lpstr>
      <vt:lpstr>МТЗ</vt:lpstr>
      <vt:lpstr>УАЗ</vt:lpstr>
      <vt:lpstr>кия</vt:lpstr>
      <vt:lpstr>КАМАЗ 5320</vt:lpstr>
      <vt:lpstr>жбо населен</vt:lpstr>
      <vt:lpstr>ЖБО для организаций</vt:lpstr>
      <vt:lpstr>услуги слесаря</vt:lpstr>
      <vt:lpstr>услуги сварщика</vt:lpstr>
      <vt:lpstr>услуги токаря</vt:lpstr>
      <vt:lpstr>Лист1</vt:lpstr>
      <vt:lpstr>'жбо населен'!Область_печати</vt:lpstr>
      <vt:lpstr>'КАМАЗ 5320'!Область_печати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2024-02-05T10:20:24Z</dcterms:modified>
</cp:coreProperties>
</file>